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G:\Administração\Licitação\Carlos Matheus\Plano Anual de Contratação\01 - CORRETOS\"/>
    </mc:Choice>
  </mc:AlternateContent>
  <xr:revisionPtr revIDLastSave="0" documentId="13_ncr:1_{BD360B39-2665-446E-84AC-E17C59EB1365}" xr6:coauthVersionLast="47" xr6:coauthVersionMax="47" xr10:uidLastSave="{00000000-0000-0000-0000-000000000000}"/>
  <bookViews>
    <workbookView xWindow="-120" yWindow="-120" windowWidth="24240" windowHeight="13140" tabRatio="796" firstSheet="12" activeTab="20" xr2:uid="{00000000-000D-0000-FFFF-FFFF00000000}"/>
  </bookViews>
  <sheets>
    <sheet name="ADM" sheetId="1" r:id="rId1"/>
    <sheet name="AGRICULTURA" sheetId="2" r:id="rId2"/>
    <sheet name="Comunicação" sheetId="3" r:id="rId3"/>
    <sheet name="CULTURA" sheetId="5" r:id="rId4"/>
    <sheet name="DESENV. ECON." sheetId="6" r:id="rId5"/>
    <sheet name="DIREITOS PCD" sheetId="7" r:id="rId6"/>
    <sheet name="EDUCAÇÃO" sheetId="8" r:id="rId7"/>
    <sheet name="ESPORTE" sheetId="9" r:id="rId8"/>
    <sheet name="FINANÇAS" sheetId="10" r:id="rId9"/>
    <sheet name="Fundo Social" sheetId="11" r:id="rId10"/>
    <sheet name="Gabinete" sheetId="12" r:id="rId11"/>
    <sheet name="GOVERNANÇA DIGITAL" sheetId="13" r:id="rId12"/>
    <sheet name="Governo" sheetId="14" r:id="rId13"/>
    <sheet name="Juridico" sheetId="15" r:id="rId14"/>
    <sheet name="Juventude" sheetId="16" r:id="rId15"/>
    <sheet name="Meio Ambiente" sheetId="17" r:id="rId16"/>
    <sheet name="OBRAS" sheetId="18" r:id="rId17"/>
    <sheet name="MULHER" sheetId="19" r:id="rId18"/>
    <sheet name="SADS" sheetId="20" r:id="rId19"/>
    <sheet name="SAUDE" sheetId="21" r:id="rId20"/>
    <sheet name="SEGURANÇA" sheetId="22" r:id="rId21"/>
    <sheet name="SERVIÇOS MUNICIPAIS" sheetId="23" r:id="rId22"/>
    <sheet name="TRANSITO" sheetId="24" r:id="rId23"/>
    <sheet name="Turismo" sheetId="25" r:id="rId24"/>
  </sheets>
  <definedNames>
    <definedName name="_xlnm._FilterDatabase" localSheetId="0" hidden="1">ADM!$A$1:$N$69</definedName>
    <definedName name="_xlnm.Print_Titles" localSheetId="0">ADM!$1:$1</definedName>
  </definedNames>
  <calcPr calcId="181029"/>
</workbook>
</file>

<file path=xl/calcChain.xml><?xml version="1.0" encoding="utf-8"?>
<calcChain xmlns="http://schemas.openxmlformats.org/spreadsheetml/2006/main">
  <c r="H2306" i="21" l="1"/>
  <c r="E1054" i="21"/>
  <c r="H1054" i="21" s="1"/>
  <c r="H1053" i="21"/>
  <c r="E1053" i="21"/>
  <c r="E1052" i="21"/>
  <c r="H1052" i="21" s="1"/>
  <c r="H1051" i="21"/>
  <c r="E1051" i="21"/>
  <c r="H1050" i="21"/>
  <c r="H1049" i="21"/>
  <c r="H1048" i="21"/>
  <c r="H1047" i="21"/>
  <c r="E1046" i="21"/>
  <c r="H1046" i="21" s="1"/>
  <c r="H1045" i="21"/>
  <c r="H1044" i="21"/>
  <c r="H1043" i="21"/>
  <c r="H1042" i="21"/>
  <c r="H1041" i="21"/>
  <c r="H1040" i="21"/>
  <c r="H1039" i="21"/>
  <c r="H1038" i="21"/>
  <c r="H1037" i="21"/>
  <c r="H1036" i="21"/>
  <c r="H1035" i="21"/>
  <c r="H1034" i="21"/>
  <c r="H1033" i="21"/>
  <c r="E1033" i="21"/>
  <c r="H1032" i="21"/>
  <c r="H1031" i="21"/>
  <c r="H1030" i="21"/>
  <c r="H1029" i="21"/>
  <c r="H1028" i="21"/>
  <c r="H1027" i="21"/>
  <c r="H1026" i="21"/>
  <c r="H1025" i="21"/>
  <c r="H1024" i="21"/>
  <c r="H1023" i="21"/>
  <c r="H1022" i="21"/>
  <c r="H1021" i="21"/>
  <c r="E1020" i="21"/>
  <c r="H1020" i="21" s="1"/>
  <c r="H1019" i="21"/>
  <c r="E1019" i="21"/>
  <c r="E1018" i="21"/>
  <c r="H1018" i="21" s="1"/>
  <c r="H1017" i="21"/>
  <c r="H1016" i="21"/>
  <c r="H1015" i="21"/>
  <c r="E1014" i="21"/>
  <c r="H1014" i="21" s="1"/>
  <c r="H1013" i="21"/>
  <c r="H1012" i="21"/>
  <c r="H1011" i="21"/>
  <c r="H1010" i="21"/>
  <c r="E1010" i="21"/>
  <c r="E1009" i="21"/>
  <c r="H1009" i="21" s="1"/>
  <c r="H1008" i="21"/>
  <c r="E1008" i="21"/>
  <c r="H1007" i="21"/>
  <c r="H1006" i="21"/>
  <c r="H1005" i="21"/>
  <c r="E1005" i="21"/>
  <c r="E1004" i="21"/>
  <c r="H1004" i="21" s="1"/>
  <c r="H1003" i="21"/>
  <c r="E1002" i="21"/>
  <c r="H1002" i="21" s="1"/>
  <c r="E1001" i="21"/>
  <c r="H1001" i="21" s="1"/>
  <c r="E1000" i="21"/>
  <c r="H1000" i="21" s="1"/>
  <c r="E999" i="21"/>
  <c r="H999" i="21" s="1"/>
  <c r="E998" i="21"/>
  <c r="H998" i="21" s="1"/>
  <c r="H997" i="21"/>
  <c r="H996" i="21"/>
  <c r="E996" i="21"/>
  <c r="E995" i="21"/>
  <c r="H995" i="21" s="1"/>
  <c r="H994" i="21"/>
  <c r="E994" i="21"/>
  <c r="E993" i="21"/>
  <c r="H993" i="21" s="1"/>
  <c r="H992" i="21"/>
  <c r="E992" i="21"/>
  <c r="E991" i="21"/>
  <c r="H991" i="21" s="1"/>
  <c r="H990" i="21"/>
  <c r="E990" i="21"/>
  <c r="E989" i="21"/>
  <c r="H989" i="21" s="1"/>
  <c r="H988" i="21"/>
  <c r="H987" i="21"/>
  <c r="E986" i="21"/>
  <c r="H986" i="21" s="1"/>
  <c r="H985" i="21"/>
  <c r="E984" i="21"/>
  <c r="H984" i="21" s="1"/>
  <c r="H572" i="21"/>
  <c r="H571" i="21"/>
  <c r="H570" i="21"/>
  <c r="H569" i="21"/>
  <c r="H568" i="21"/>
  <c r="H567" i="21"/>
  <c r="H566" i="21"/>
  <c r="H565" i="21"/>
  <c r="H564" i="21"/>
  <c r="H563" i="21"/>
  <c r="H562" i="21"/>
  <c r="H561" i="21"/>
  <c r="H560" i="21"/>
  <c r="H559" i="21"/>
  <c r="H558" i="21"/>
  <c r="H439" i="21"/>
  <c r="E438" i="21"/>
  <c r="H438" i="21" s="1"/>
  <c r="H437" i="21"/>
  <c r="H373" i="21"/>
  <c r="H372" i="21"/>
  <c r="H6" i="21"/>
  <c r="E4" i="21"/>
  <c r="I197" i="17"/>
  <c r="I196" i="17"/>
  <c r="I195" i="17"/>
  <c r="I194" i="17"/>
  <c r="I193" i="17"/>
  <c r="I192" i="17"/>
  <c r="I191" i="17"/>
  <c r="I190" i="17"/>
  <c r="I189" i="17"/>
  <c r="I188" i="17"/>
  <c r="I187" i="17"/>
  <c r="I186" i="17"/>
  <c r="I185" i="17"/>
  <c r="I184" i="17"/>
  <c r="I183" i="17"/>
  <c r="I182" i="17"/>
  <c r="I181" i="17"/>
  <c r="I180" i="17"/>
  <c r="I179" i="17"/>
  <c r="I178" i="17"/>
  <c r="I177" i="17"/>
  <c r="I176" i="17"/>
  <c r="I175" i="17"/>
  <c r="I174" i="17"/>
  <c r="I173" i="17"/>
  <c r="I172" i="17"/>
  <c r="I171" i="17"/>
  <c r="I170" i="17"/>
  <c r="I169" i="17"/>
  <c r="I168" i="17"/>
  <c r="I167" i="17"/>
  <c r="I166" i="17"/>
  <c r="I165" i="17"/>
  <c r="I164" i="17"/>
  <c r="I163" i="17"/>
  <c r="I162" i="17"/>
  <c r="I161" i="17"/>
  <c r="I160" i="17"/>
  <c r="I159" i="17"/>
  <c r="I158" i="17"/>
  <c r="I157" i="17"/>
  <c r="I156" i="17"/>
  <c r="I155" i="17"/>
  <c r="I154" i="17"/>
  <c r="I153" i="17"/>
  <c r="I152" i="17"/>
  <c r="I151" i="17"/>
  <c r="I150" i="17"/>
  <c r="I149" i="17"/>
  <c r="I148" i="17"/>
  <c r="I147" i="17"/>
  <c r="I146" i="17"/>
  <c r="I145" i="17"/>
  <c r="I144" i="17"/>
  <c r="I143" i="17"/>
  <c r="I142" i="17"/>
  <c r="I141" i="17"/>
  <c r="I140" i="17"/>
  <c r="I139" i="17"/>
  <c r="I138" i="17"/>
  <c r="I137" i="17"/>
  <c r="I136" i="17"/>
  <c r="I135" i="17"/>
  <c r="I134" i="17"/>
  <c r="I133" i="17"/>
  <c r="I132" i="17"/>
  <c r="I131" i="17"/>
  <c r="I130" i="17"/>
  <c r="I129" i="17"/>
  <c r="I128" i="17"/>
  <c r="I127" i="17"/>
  <c r="I126" i="17"/>
  <c r="I125" i="17"/>
  <c r="I124" i="17"/>
  <c r="I123" i="17"/>
  <c r="I122" i="17"/>
  <c r="I121" i="17"/>
  <c r="I120" i="17"/>
  <c r="I119" i="17"/>
  <c r="I118" i="17"/>
  <c r="I117" i="17"/>
  <c r="I116" i="17"/>
  <c r="I115" i="17"/>
  <c r="I114" i="17"/>
  <c r="I113" i="17"/>
  <c r="I112" i="17"/>
  <c r="I111" i="17"/>
  <c r="I110" i="17"/>
  <c r="I109" i="17"/>
  <c r="I108" i="17"/>
  <c r="I107" i="17"/>
  <c r="I106" i="17"/>
  <c r="I105" i="17"/>
  <c r="I104" i="17"/>
  <c r="I103" i="17"/>
  <c r="I102" i="17"/>
  <c r="I101" i="17"/>
  <c r="I100" i="17"/>
  <c r="I99" i="17"/>
  <c r="I98" i="17"/>
  <c r="I97" i="17"/>
  <c r="I96" i="17"/>
  <c r="I95" i="17"/>
  <c r="I94" i="17"/>
  <c r="I93" i="17"/>
  <c r="I92" i="17"/>
  <c r="I91" i="17"/>
  <c r="H91" i="17"/>
  <c r="H90" i="17"/>
  <c r="E90" i="17"/>
  <c r="I90" i="17" s="1"/>
  <c r="I89" i="17"/>
  <c r="H89" i="17"/>
  <c r="I88" i="17"/>
  <c r="H88" i="17"/>
  <c r="I87" i="17"/>
  <c r="H86" i="17"/>
  <c r="I86" i="17" s="1"/>
  <c r="I85" i="17"/>
  <c r="H84" i="17"/>
  <c r="I84" i="17" s="1"/>
  <c r="I83" i="17"/>
  <c r="I82" i="17"/>
  <c r="I81" i="17"/>
  <c r="I80" i="17"/>
  <c r="I79" i="17"/>
  <c r="I78" i="17"/>
  <c r="I77" i="17"/>
  <c r="I76" i="17"/>
  <c r="I75" i="17"/>
  <c r="I74" i="17"/>
  <c r="I73" i="17"/>
  <c r="I72" i="17"/>
  <c r="I71" i="17"/>
  <c r="I70" i="17"/>
  <c r="I69" i="17"/>
  <c r="I68" i="17"/>
  <c r="I67" i="17"/>
  <c r="I66" i="17"/>
  <c r="I65" i="17"/>
  <c r="H65" i="17"/>
  <c r="I64" i="17"/>
  <c r="H64" i="17"/>
  <c r="I63" i="17"/>
  <c r="H63" i="17"/>
  <c r="I62" i="17"/>
  <c r="H62" i="17"/>
  <c r="I61" i="17"/>
  <c r="H61" i="17"/>
  <c r="I60" i="17"/>
  <c r="H60" i="17"/>
  <c r="I59" i="17"/>
  <c r="H59" i="17"/>
  <c r="I58" i="17"/>
  <c r="H58" i="17"/>
  <c r="I57" i="17"/>
  <c r="H57" i="17"/>
  <c r="I56" i="17"/>
  <c r="H56" i="17"/>
  <c r="I55" i="17"/>
  <c r="H55" i="17"/>
  <c r="I54" i="17"/>
  <c r="H54" i="17"/>
  <c r="I53" i="17"/>
  <c r="I52" i="17"/>
  <c r="I51" i="17"/>
  <c r="I50" i="17"/>
  <c r="I49" i="17"/>
  <c r="I48" i="17"/>
  <c r="I47" i="17"/>
  <c r="I46" i="17"/>
  <c r="I45" i="17"/>
  <c r="I44" i="17"/>
  <c r="I43" i="17"/>
  <c r="I42" i="17"/>
  <c r="I41" i="17"/>
  <c r="I40" i="17"/>
  <c r="I39" i="17"/>
  <c r="I38" i="17"/>
  <c r="I37" i="17"/>
  <c r="E36" i="17"/>
  <c r="I36" i="17" s="1"/>
  <c r="I35" i="17"/>
  <c r="E35" i="17"/>
  <c r="E34" i="17"/>
  <c r="I34" i="17" s="1"/>
  <c r="I33" i="17"/>
  <c r="E33" i="17"/>
  <c r="I32" i="17"/>
  <c r="I31" i="17"/>
  <c r="I30" i="17"/>
  <c r="I29" i="17"/>
  <c r="I28" i="17"/>
  <c r="I27" i="17"/>
  <c r="I26" i="17"/>
  <c r="I25" i="17"/>
  <c r="H25" i="17"/>
  <c r="I24" i="17"/>
  <c r="I23" i="17"/>
  <c r="I22" i="17"/>
  <c r="I21" i="17"/>
  <c r="I20" i="17"/>
  <c r="I19" i="17"/>
  <c r="H19" i="17"/>
  <c r="I18" i="17"/>
  <c r="I17" i="17"/>
  <c r="I16" i="17"/>
  <c r="I15" i="17"/>
  <c r="I14" i="17"/>
  <c r="I13" i="17"/>
  <c r="I12" i="17"/>
  <c r="I11" i="17"/>
  <c r="I10" i="17"/>
  <c r="H9" i="17"/>
  <c r="I9" i="17" s="1"/>
  <c r="I8" i="17"/>
  <c r="I7" i="17"/>
  <c r="I6" i="17"/>
  <c r="I4" i="17"/>
  <c r="I3" i="17"/>
  <c r="I2" i="17"/>
  <c r="H69" i="16" l="1"/>
  <c r="H68"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34" i="16"/>
  <c r="H33" i="16"/>
  <c r="H32" i="16"/>
  <c r="H31" i="16"/>
  <c r="H30" i="16"/>
  <c r="H29" i="16"/>
  <c r="H28" i="16"/>
  <c r="H27" i="16"/>
  <c r="H26" i="16"/>
  <c r="H22" i="16"/>
  <c r="H21" i="16"/>
  <c r="H20" i="16"/>
  <c r="H19" i="16"/>
  <c r="H18" i="16"/>
  <c r="H17" i="16"/>
  <c r="H16" i="16"/>
  <c r="H15" i="16"/>
  <c r="H14" i="16"/>
  <c r="H13" i="16"/>
  <c r="H12" i="16"/>
  <c r="H11" i="16"/>
  <c r="H10" i="16"/>
  <c r="H9" i="16"/>
  <c r="H8" i="16"/>
  <c r="H7" i="16"/>
  <c r="H6" i="16"/>
  <c r="H5" i="16"/>
  <c r="H4" i="16"/>
  <c r="H3" i="16"/>
  <c r="H2" i="16"/>
  <c r="I49" i="13" l="1"/>
  <c r="I48" i="13"/>
  <c r="I47" i="13"/>
  <c r="I46" i="13"/>
  <c r="I45" i="13"/>
  <c r="I44" i="13"/>
  <c r="I43" i="13"/>
  <c r="I42" i="13"/>
  <c r="I41" i="13"/>
  <c r="I40" i="13"/>
  <c r="I39" i="13"/>
  <c r="I38" i="13"/>
  <c r="I37" i="13"/>
  <c r="I36" i="13"/>
  <c r="I35" i="13"/>
  <c r="I34" i="13"/>
  <c r="I33" i="13"/>
  <c r="I32" i="13"/>
  <c r="I31" i="13"/>
  <c r="I30" i="13"/>
  <c r="I29" i="13"/>
  <c r="I28" i="13"/>
  <c r="I27" i="13"/>
  <c r="I26" i="13"/>
  <c r="I25" i="13"/>
  <c r="I24" i="13"/>
  <c r="I23" i="13"/>
  <c r="I22" i="13"/>
  <c r="I21" i="13"/>
  <c r="I20" i="13"/>
  <c r="I19" i="13"/>
  <c r="I18" i="13"/>
  <c r="I17" i="13"/>
  <c r="I16" i="13"/>
  <c r="I15" i="13"/>
  <c r="I14" i="13"/>
  <c r="I13" i="13"/>
  <c r="I12" i="13"/>
  <c r="I11" i="13"/>
  <c r="I10" i="13"/>
  <c r="I9" i="13"/>
  <c r="I8" i="13"/>
  <c r="I7" i="13"/>
  <c r="I6" i="13"/>
  <c r="I5" i="13"/>
  <c r="I4" i="13"/>
  <c r="I3" i="13"/>
  <c r="I2" i="13"/>
  <c r="I134" i="12" l="1"/>
  <c r="I133" i="12"/>
  <c r="I132" i="12"/>
  <c r="I131" i="12"/>
  <c r="I130" i="12"/>
  <c r="I129" i="12"/>
  <c r="I128" i="12"/>
  <c r="I127" i="12"/>
  <c r="I126" i="12"/>
  <c r="I125" i="12"/>
  <c r="I124" i="12"/>
  <c r="I123" i="12"/>
  <c r="I122" i="12"/>
  <c r="I121" i="12"/>
  <c r="I120"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I9" i="12"/>
  <c r="I8" i="12"/>
  <c r="I7" i="12"/>
  <c r="I6" i="12"/>
  <c r="I5" i="12"/>
  <c r="I4" i="12"/>
  <c r="I3" i="12"/>
  <c r="I2" i="12"/>
  <c r="I53" i="11" l="1"/>
  <c r="I52" i="11"/>
  <c r="I51" i="11"/>
  <c r="I50" i="11"/>
  <c r="I49" i="11"/>
  <c r="I48" i="11"/>
  <c r="I47" i="11"/>
  <c r="I46" i="11"/>
  <c r="I45" i="11"/>
  <c r="I44" i="11"/>
  <c r="I42" i="11"/>
  <c r="I41" i="11"/>
  <c r="I40" i="11"/>
  <c r="I39" i="11"/>
  <c r="I38" i="11"/>
  <c r="I37" i="11"/>
  <c r="I36" i="11"/>
  <c r="I35" i="11"/>
  <c r="I34" i="11"/>
  <c r="I33" i="11"/>
  <c r="I32" i="11"/>
  <c r="I31" i="11"/>
  <c r="I30" i="11"/>
  <c r="I29" i="11"/>
  <c r="I28" i="11"/>
  <c r="I27" i="11"/>
  <c r="I26" i="11"/>
  <c r="I25" i="11"/>
  <c r="I24" i="11"/>
  <c r="I23" i="11"/>
  <c r="I22" i="11"/>
  <c r="I21" i="11"/>
  <c r="I20" i="11"/>
  <c r="I19" i="11"/>
  <c r="I18" i="11"/>
  <c r="I17" i="11"/>
  <c r="I16" i="11"/>
  <c r="I15" i="11"/>
  <c r="I14" i="11"/>
  <c r="I13" i="11"/>
  <c r="I12" i="11"/>
  <c r="I11" i="11"/>
  <c r="I10" i="11"/>
  <c r="I9" i="11"/>
  <c r="I8" i="11"/>
  <c r="I7" i="11"/>
  <c r="I6" i="11"/>
  <c r="I5" i="11"/>
  <c r="I4" i="11"/>
  <c r="I3" i="11"/>
  <c r="I2" i="11"/>
  <c r="I83" i="10" l="1"/>
  <c r="I82" i="10"/>
  <c r="I81" i="10"/>
  <c r="I80" i="10"/>
  <c r="I79" i="10"/>
  <c r="I78" i="10"/>
  <c r="I77" i="10"/>
  <c r="I76" i="10"/>
  <c r="I75" i="10"/>
  <c r="I74" i="10"/>
  <c r="I73" i="10"/>
  <c r="I72" i="10"/>
  <c r="I71" i="10"/>
  <c r="I70" i="10"/>
  <c r="I69" i="10"/>
  <c r="I68" i="10"/>
  <c r="I67" i="10"/>
  <c r="I66" i="10"/>
  <c r="I65" i="10"/>
  <c r="I64" i="10"/>
  <c r="I63" i="10"/>
  <c r="I62" i="10"/>
  <c r="I61" i="10"/>
  <c r="I60" i="10"/>
  <c r="I59" i="10"/>
  <c r="I58" i="10"/>
  <c r="I57" i="10"/>
  <c r="I56" i="10"/>
  <c r="I55" i="10"/>
  <c r="I54" i="10"/>
  <c r="I53" i="10"/>
  <c r="I52" i="10"/>
  <c r="I51" i="10"/>
  <c r="I50" i="10"/>
  <c r="I49" i="10"/>
  <c r="I48" i="10"/>
  <c r="I47" i="10"/>
  <c r="I46" i="10"/>
  <c r="I45" i="10"/>
  <c r="I44" i="10"/>
  <c r="I43" i="10"/>
  <c r="I42" i="10"/>
  <c r="I41" i="10"/>
  <c r="I40" i="10"/>
  <c r="I39" i="10"/>
  <c r="I38" i="10"/>
  <c r="I37" i="10"/>
  <c r="I36" i="10"/>
  <c r="I35" i="10"/>
  <c r="I34" i="10"/>
  <c r="I33" i="10"/>
  <c r="I32" i="10"/>
  <c r="I31" i="10"/>
  <c r="I30" i="10"/>
  <c r="I29" i="10"/>
  <c r="I28" i="10"/>
  <c r="I27" i="10"/>
  <c r="I26" i="10"/>
  <c r="I25" i="10"/>
  <c r="I24" i="10"/>
  <c r="I23" i="10"/>
  <c r="I22" i="10"/>
  <c r="I21" i="10"/>
  <c r="I20" i="10"/>
  <c r="I19" i="10"/>
  <c r="I18" i="10"/>
  <c r="I17" i="10"/>
  <c r="I16" i="10"/>
  <c r="I15" i="10"/>
  <c r="I14" i="10"/>
  <c r="I13" i="10"/>
  <c r="I12" i="10"/>
  <c r="I11" i="10"/>
  <c r="I10" i="10"/>
  <c r="I9" i="10"/>
  <c r="I8" i="10"/>
  <c r="I7" i="10"/>
  <c r="I6" i="10"/>
  <c r="I5" i="10"/>
  <c r="I4" i="10"/>
  <c r="I3" i="10"/>
  <c r="I2" i="10"/>
  <c r="I1246" i="8" l="1"/>
  <c r="A1246" i="8"/>
  <c r="I1245" i="8"/>
  <c r="A1245" i="8"/>
  <c r="I1244" i="8"/>
  <c r="A1244" i="8"/>
  <c r="I1243" i="8"/>
  <c r="A1243" i="8"/>
  <c r="I1242" i="8"/>
  <c r="A1242" i="8"/>
  <c r="I1241" i="8"/>
  <c r="A1241" i="8"/>
  <c r="I1240" i="8"/>
  <c r="A1240" i="8"/>
  <c r="I1239" i="8"/>
  <c r="A1239" i="8"/>
  <c r="I1238" i="8"/>
  <c r="A1238" i="8"/>
  <c r="I1237" i="8"/>
  <c r="A1237" i="8"/>
  <c r="I1236" i="8"/>
  <c r="A1236" i="8"/>
  <c r="I1235" i="8"/>
  <c r="A1235" i="8"/>
  <c r="I1234" i="8"/>
  <c r="A1234" i="8"/>
  <c r="I1233" i="8"/>
  <c r="A1233" i="8"/>
  <c r="I1232" i="8"/>
  <c r="A1232" i="8"/>
  <c r="I1231" i="8"/>
  <c r="A1231" i="8"/>
  <c r="I1230" i="8"/>
  <c r="A1230" i="8"/>
  <c r="I1229" i="8"/>
  <c r="A1229" i="8"/>
  <c r="I1228" i="8"/>
  <c r="A1228" i="8"/>
  <c r="I1227" i="8"/>
  <c r="A1227" i="8"/>
  <c r="I1226" i="8"/>
  <c r="A1226" i="8"/>
  <c r="I1225" i="8"/>
  <c r="A1225" i="8"/>
  <c r="I1224" i="8"/>
  <c r="A1224" i="8"/>
  <c r="I1223" i="8"/>
  <c r="A1223" i="8"/>
  <c r="I1222" i="8"/>
  <c r="A1222" i="8"/>
  <c r="I1221" i="8"/>
  <c r="A1221" i="8"/>
  <c r="I1220" i="8"/>
  <c r="A1220" i="8"/>
  <c r="I1219" i="8"/>
  <c r="A1219" i="8"/>
  <c r="I1218" i="8"/>
  <c r="A1218" i="8"/>
  <c r="I1217" i="8"/>
  <c r="A1217" i="8"/>
  <c r="I1216" i="8"/>
  <c r="A1216" i="8"/>
  <c r="I1215" i="8"/>
  <c r="A1215" i="8"/>
  <c r="I1214" i="8"/>
  <c r="A1214" i="8"/>
  <c r="I1213" i="8"/>
  <c r="A1213" i="8"/>
  <c r="I1212" i="8"/>
  <c r="A1212" i="8"/>
  <c r="I1211" i="8"/>
  <c r="A1211" i="8"/>
  <c r="I1210" i="8"/>
  <c r="A1210" i="8"/>
  <c r="I1209" i="8"/>
  <c r="A1209" i="8"/>
  <c r="I1208" i="8"/>
  <c r="A1208" i="8"/>
  <c r="I1207" i="8"/>
  <c r="A1207" i="8"/>
  <c r="I1206" i="8"/>
  <c r="A1206" i="8"/>
  <c r="I1205" i="8"/>
  <c r="A1205" i="8"/>
  <c r="I1204" i="8"/>
  <c r="A1204" i="8"/>
  <c r="I1203" i="8"/>
  <c r="A1203" i="8"/>
  <c r="I1202" i="8"/>
  <c r="A1202" i="8"/>
  <c r="I1201" i="8"/>
  <c r="A1201" i="8"/>
  <c r="I1200" i="8"/>
  <c r="A1200" i="8"/>
  <c r="I1199" i="8"/>
  <c r="A1199" i="8"/>
  <c r="I1198" i="8"/>
  <c r="E1198" i="8"/>
  <c r="A1198" i="8"/>
  <c r="I1197" i="8"/>
  <c r="E1197" i="8"/>
  <c r="A1197" i="8"/>
  <c r="E1196" i="8"/>
  <c r="I1196" i="8" s="1"/>
  <c r="A1196" i="8"/>
  <c r="E1195" i="8"/>
  <c r="I1195" i="8" s="1"/>
  <c r="A1195" i="8"/>
  <c r="E1194" i="8"/>
  <c r="I1194" i="8" s="1"/>
  <c r="A1194" i="8"/>
  <c r="I1193" i="8"/>
  <c r="E1193" i="8"/>
  <c r="A1193" i="8"/>
  <c r="E1192" i="8"/>
  <c r="I1192" i="8" s="1"/>
  <c r="A1192" i="8"/>
  <c r="I1191" i="8"/>
  <c r="A1191" i="8"/>
  <c r="I1190" i="8"/>
  <c r="E1190" i="8"/>
  <c r="A1190" i="8"/>
  <c r="E1189" i="8"/>
  <c r="I1189" i="8" s="1"/>
  <c r="A1189" i="8"/>
  <c r="E1188" i="8"/>
  <c r="I1188" i="8" s="1"/>
  <c r="A1188" i="8"/>
  <c r="I1187" i="8"/>
  <c r="A1187" i="8"/>
  <c r="I1186" i="8"/>
  <c r="A1186" i="8"/>
  <c r="I1185" i="8"/>
  <c r="A1185" i="8"/>
  <c r="I1184" i="8"/>
  <c r="A1184" i="8"/>
  <c r="I1183" i="8"/>
  <c r="A1183" i="8"/>
  <c r="I1182" i="8"/>
  <c r="A1182" i="8"/>
  <c r="I1181" i="8"/>
  <c r="A1181" i="8"/>
  <c r="I1180" i="8"/>
  <c r="A1180" i="8"/>
  <c r="I1179" i="8"/>
  <c r="A1179" i="8"/>
  <c r="I1178" i="8"/>
  <c r="A1178" i="8"/>
  <c r="I1177" i="8"/>
  <c r="A1177" i="8"/>
  <c r="I1176" i="8"/>
  <c r="A1176" i="8"/>
  <c r="I1175" i="8"/>
  <c r="A1175" i="8"/>
  <c r="I1174" i="8"/>
  <c r="A1174" i="8"/>
  <c r="I1173" i="8"/>
  <c r="A1173" i="8"/>
  <c r="I1172" i="8"/>
  <c r="A1172" i="8"/>
  <c r="I1171" i="8"/>
  <c r="A1171" i="8"/>
  <c r="I1170" i="8"/>
  <c r="A1170" i="8"/>
  <c r="I1169" i="8"/>
  <c r="A1169" i="8"/>
  <c r="I1168" i="8"/>
  <c r="A1168" i="8"/>
  <c r="I1167" i="8"/>
  <c r="A1167" i="8"/>
  <c r="I1166" i="8"/>
  <c r="A1166" i="8"/>
  <c r="I1165" i="8"/>
  <c r="A1165" i="8"/>
  <c r="I1164" i="8"/>
  <c r="A1164" i="8"/>
  <c r="I1163" i="8"/>
  <c r="A1163" i="8"/>
  <c r="I1162" i="8"/>
  <c r="A1162" i="8"/>
  <c r="I1161" i="8"/>
  <c r="A1161" i="8"/>
  <c r="I1160" i="8"/>
  <c r="A1160" i="8"/>
  <c r="I1159" i="8"/>
  <c r="A1159" i="8"/>
  <c r="I1158" i="8"/>
  <c r="A1158" i="8"/>
  <c r="I1157" i="8"/>
  <c r="A1157" i="8"/>
  <c r="I1156" i="8"/>
  <c r="A1156" i="8"/>
  <c r="I1155" i="8"/>
  <c r="A1155" i="8"/>
  <c r="I1154" i="8"/>
  <c r="A1154" i="8"/>
  <c r="I1153" i="8"/>
  <c r="A1153" i="8"/>
  <c r="I1152" i="8"/>
  <c r="A1152" i="8"/>
  <c r="I1151" i="8"/>
  <c r="A1151" i="8"/>
  <c r="I1150" i="8"/>
  <c r="A1150" i="8"/>
  <c r="I1149" i="8"/>
  <c r="A1149" i="8"/>
  <c r="I1148" i="8"/>
  <c r="A1148" i="8"/>
  <c r="I1147" i="8"/>
  <c r="A1147" i="8"/>
  <c r="I1146" i="8"/>
  <c r="A1146" i="8"/>
  <c r="I1145" i="8"/>
  <c r="A1145" i="8"/>
  <c r="I1144" i="8"/>
  <c r="A1144" i="8"/>
  <c r="I1143" i="8"/>
  <c r="A1143" i="8"/>
  <c r="I1142" i="8"/>
  <c r="A1142" i="8"/>
  <c r="I1141" i="8"/>
  <c r="A1141" i="8"/>
  <c r="I1140" i="8"/>
  <c r="A1140" i="8"/>
  <c r="I1139" i="8"/>
  <c r="A1139" i="8"/>
  <c r="I1138" i="8"/>
  <c r="A1138" i="8"/>
  <c r="I1137" i="8"/>
  <c r="A1137" i="8"/>
  <c r="I1136" i="8"/>
  <c r="A1136" i="8"/>
  <c r="I1135" i="8"/>
  <c r="A1135" i="8"/>
  <c r="I1134" i="8"/>
  <c r="A1134" i="8"/>
  <c r="I1133" i="8"/>
  <c r="A1133" i="8"/>
  <c r="I1132" i="8"/>
  <c r="A1132" i="8"/>
  <c r="I1131" i="8"/>
  <c r="A1131" i="8"/>
  <c r="I1130" i="8"/>
  <c r="A1130" i="8"/>
  <c r="I1129" i="8"/>
  <c r="A1129" i="8"/>
  <c r="I1128" i="8"/>
  <c r="A1128" i="8"/>
  <c r="I1127" i="8"/>
  <c r="A1127" i="8"/>
  <c r="I1126" i="8"/>
  <c r="A1126" i="8"/>
  <c r="I1125" i="8"/>
  <c r="A1125" i="8"/>
  <c r="I1124" i="8"/>
  <c r="A1124" i="8"/>
  <c r="I1123" i="8"/>
  <c r="A1123" i="8"/>
  <c r="I1122" i="8"/>
  <c r="A1122" i="8"/>
  <c r="I1121" i="8"/>
  <c r="A1121" i="8"/>
  <c r="I1120" i="8"/>
  <c r="A1120" i="8"/>
  <c r="I1119" i="8"/>
  <c r="A1119" i="8"/>
  <c r="I1118" i="8"/>
  <c r="A1118" i="8"/>
  <c r="I1117" i="8"/>
  <c r="A1117" i="8"/>
  <c r="I1116" i="8"/>
  <c r="A1116" i="8"/>
  <c r="I1115" i="8"/>
  <c r="A1115" i="8"/>
  <c r="I1114" i="8"/>
  <c r="A1114" i="8"/>
  <c r="I1113" i="8"/>
  <c r="A1113" i="8"/>
  <c r="I1112" i="8"/>
  <c r="A1112" i="8"/>
  <c r="I1111" i="8"/>
  <c r="A1111" i="8"/>
  <c r="I1110" i="8"/>
  <c r="A1110" i="8"/>
  <c r="I1109" i="8"/>
  <c r="A1109" i="8"/>
  <c r="I1108" i="8"/>
  <c r="A1108" i="8"/>
  <c r="I1107" i="8"/>
  <c r="A1107" i="8"/>
  <c r="I1106" i="8"/>
  <c r="A1106" i="8"/>
  <c r="I1105" i="8"/>
  <c r="A1105" i="8"/>
  <c r="I1104" i="8"/>
  <c r="A1104" i="8"/>
  <c r="I1103" i="8"/>
  <c r="A1103" i="8"/>
  <c r="I1102" i="8"/>
  <c r="A1102" i="8"/>
  <c r="I1101" i="8"/>
  <c r="A1101" i="8"/>
  <c r="I1100" i="8"/>
  <c r="A1100" i="8"/>
  <c r="I1099" i="8"/>
  <c r="A1099" i="8"/>
  <c r="I1098" i="8"/>
  <c r="A1098" i="8"/>
  <c r="I1097" i="8"/>
  <c r="A1097" i="8"/>
  <c r="I1096" i="8"/>
  <c r="A1096" i="8"/>
  <c r="I1095" i="8"/>
  <c r="A1095" i="8"/>
  <c r="I1094" i="8"/>
  <c r="A1094" i="8"/>
  <c r="I1093" i="8"/>
  <c r="A1093" i="8"/>
  <c r="I1092" i="8"/>
  <c r="A1092" i="8"/>
  <c r="I1091" i="8"/>
  <c r="A1091" i="8"/>
  <c r="I1090" i="8"/>
  <c r="A1090" i="8"/>
  <c r="I1089" i="8"/>
  <c r="A1089" i="8"/>
  <c r="I1088" i="8"/>
  <c r="A1088" i="8"/>
  <c r="I1087" i="8"/>
  <c r="A1087" i="8"/>
  <c r="I1086" i="8"/>
  <c r="A1086" i="8"/>
  <c r="I1085" i="8"/>
  <c r="A1085" i="8"/>
  <c r="I1084" i="8"/>
  <c r="A1084" i="8"/>
  <c r="I1083" i="8"/>
  <c r="A1083" i="8"/>
  <c r="I1082" i="8"/>
  <c r="A1082" i="8"/>
  <c r="I1081" i="8"/>
  <c r="A1081" i="8"/>
  <c r="I1080" i="8"/>
  <c r="A1080" i="8"/>
  <c r="I1079" i="8"/>
  <c r="A1079" i="8"/>
  <c r="I1078" i="8"/>
  <c r="A1078" i="8"/>
  <c r="I1077" i="8"/>
  <c r="A1077" i="8"/>
  <c r="I1076" i="8"/>
  <c r="A1076" i="8"/>
  <c r="I1075" i="8"/>
  <c r="A1075" i="8"/>
  <c r="I1074" i="8"/>
  <c r="A1074" i="8"/>
  <c r="I1073" i="8"/>
  <c r="A1073" i="8"/>
  <c r="I1072" i="8"/>
  <c r="A1072" i="8"/>
  <c r="I1071" i="8"/>
  <c r="A1071" i="8"/>
  <c r="I1070" i="8"/>
  <c r="A1070" i="8"/>
  <c r="I1069" i="8"/>
  <c r="A1069" i="8"/>
  <c r="I1068" i="8"/>
  <c r="A1068" i="8"/>
  <c r="I1067" i="8"/>
  <c r="A1067" i="8"/>
  <c r="I1066" i="8"/>
  <c r="A1066" i="8"/>
  <c r="I1065" i="8"/>
  <c r="A1065" i="8"/>
  <c r="I1064" i="8"/>
  <c r="A1064" i="8"/>
  <c r="I1063" i="8"/>
  <c r="A1063" i="8"/>
  <c r="I1062" i="8"/>
  <c r="A1062" i="8"/>
  <c r="I1061" i="8"/>
  <c r="A1061" i="8"/>
  <c r="I1060" i="8"/>
  <c r="A1060" i="8"/>
  <c r="I1059" i="8"/>
  <c r="A1059" i="8"/>
  <c r="I1058" i="8"/>
  <c r="A1058" i="8"/>
  <c r="I1057" i="8"/>
  <c r="A1057" i="8"/>
  <c r="I1056" i="8"/>
  <c r="A1056" i="8"/>
  <c r="I1055" i="8"/>
  <c r="A1055" i="8"/>
  <c r="I1054" i="8"/>
  <c r="A1054" i="8"/>
  <c r="I1053" i="8"/>
  <c r="A1053" i="8"/>
  <c r="I1052" i="8"/>
  <c r="A1052" i="8"/>
  <c r="I1051" i="8"/>
  <c r="A1051" i="8"/>
  <c r="I1050" i="8"/>
  <c r="A1050" i="8"/>
  <c r="I1049" i="8"/>
  <c r="A1049" i="8"/>
  <c r="I1048" i="8"/>
  <c r="A1048" i="8"/>
  <c r="I1047" i="8"/>
  <c r="A1047" i="8"/>
  <c r="I1046" i="8"/>
  <c r="A1046" i="8"/>
  <c r="I1045" i="8"/>
  <c r="A1045" i="8"/>
  <c r="I1044" i="8"/>
  <c r="A1044" i="8"/>
  <c r="I1043" i="8"/>
  <c r="A1043" i="8"/>
  <c r="I1042" i="8"/>
  <c r="A1042" i="8"/>
  <c r="I1041" i="8"/>
  <c r="A1041" i="8"/>
  <c r="I1040" i="8"/>
  <c r="A1040" i="8"/>
  <c r="I1039" i="8"/>
  <c r="A1039" i="8"/>
  <c r="I1038" i="8"/>
  <c r="A1038" i="8"/>
  <c r="I1037" i="8"/>
  <c r="A1037" i="8"/>
  <c r="I1036" i="8"/>
  <c r="A1036" i="8"/>
  <c r="I1035" i="8"/>
  <c r="A1035" i="8"/>
  <c r="I1034" i="8"/>
  <c r="A1034" i="8"/>
  <c r="I1033" i="8"/>
  <c r="A1033" i="8"/>
  <c r="I1032" i="8"/>
  <c r="A1032" i="8"/>
  <c r="I1031" i="8"/>
  <c r="A1031" i="8"/>
  <c r="I1030" i="8"/>
  <c r="A1030" i="8"/>
  <c r="I1029" i="8"/>
  <c r="A1029" i="8"/>
  <c r="I1028" i="8"/>
  <c r="A1028" i="8"/>
  <c r="I1027" i="8"/>
  <c r="A1027" i="8"/>
  <c r="I1026" i="8"/>
  <c r="A1026" i="8"/>
  <c r="I1025" i="8"/>
  <c r="A1025" i="8"/>
  <c r="I1024" i="8"/>
  <c r="A1024" i="8"/>
  <c r="I1023" i="8"/>
  <c r="A1023" i="8"/>
  <c r="I1022" i="8"/>
  <c r="A1022" i="8"/>
  <c r="I1021" i="8"/>
  <c r="A1021" i="8"/>
  <c r="I1020" i="8"/>
  <c r="A1020" i="8"/>
  <c r="I1019" i="8"/>
  <c r="A1019" i="8"/>
  <c r="I1018" i="8"/>
  <c r="A1018" i="8"/>
  <c r="I1017" i="8"/>
  <c r="A1017" i="8"/>
  <c r="I1016" i="8"/>
  <c r="A1016" i="8"/>
  <c r="I1015" i="8"/>
  <c r="A1015" i="8"/>
  <c r="I1014" i="8"/>
  <c r="A1014" i="8"/>
  <c r="I1013" i="8"/>
  <c r="A1013" i="8"/>
  <c r="I1012" i="8"/>
  <c r="A1012" i="8"/>
  <c r="I1011" i="8"/>
  <c r="A1011" i="8"/>
  <c r="I1010" i="8"/>
  <c r="A1010" i="8"/>
  <c r="I1009" i="8"/>
  <c r="A1009" i="8"/>
  <c r="I1008" i="8"/>
  <c r="A1008" i="8"/>
  <c r="I1007" i="8"/>
  <c r="A1007" i="8"/>
  <c r="I1006" i="8"/>
  <c r="A1006" i="8"/>
  <c r="I1005" i="8"/>
  <c r="A1005" i="8"/>
  <c r="I1004" i="8"/>
  <c r="A1004" i="8"/>
  <c r="I1003" i="8"/>
  <c r="A1003" i="8"/>
  <c r="I1002" i="8"/>
  <c r="A1002" i="8"/>
  <c r="I1001" i="8"/>
  <c r="A1001" i="8"/>
  <c r="I1000" i="8"/>
  <c r="A1000" i="8"/>
  <c r="I999" i="8"/>
  <c r="A999" i="8"/>
  <c r="I998" i="8"/>
  <c r="A998" i="8"/>
  <c r="I997" i="8"/>
  <c r="A997" i="8"/>
  <c r="I996" i="8"/>
  <c r="A996" i="8"/>
  <c r="I995" i="8"/>
  <c r="A995" i="8"/>
  <c r="I994" i="8"/>
  <c r="A994" i="8"/>
  <c r="I993" i="8"/>
  <c r="A993" i="8"/>
  <c r="I992" i="8"/>
  <c r="A992" i="8"/>
  <c r="I991" i="8"/>
  <c r="A991" i="8"/>
  <c r="I990" i="8"/>
  <c r="A990" i="8"/>
  <c r="I989" i="8"/>
  <c r="A989" i="8"/>
  <c r="I988" i="8"/>
  <c r="A988" i="8"/>
  <c r="I987" i="8"/>
  <c r="A987" i="8"/>
  <c r="I986" i="8"/>
  <c r="A986" i="8"/>
  <c r="I985" i="8"/>
  <c r="A985" i="8"/>
  <c r="I984" i="8"/>
  <c r="A984" i="8"/>
  <c r="I983" i="8"/>
  <c r="A983" i="8"/>
  <c r="I982" i="8"/>
  <c r="A982" i="8"/>
  <c r="I981" i="8"/>
  <c r="A981" i="8"/>
  <c r="I980" i="8"/>
  <c r="A980" i="8"/>
  <c r="I979" i="8"/>
  <c r="A979" i="8"/>
  <c r="I978" i="8"/>
  <c r="A978" i="8"/>
  <c r="I977" i="8"/>
  <c r="A977" i="8"/>
  <c r="I976" i="8"/>
  <c r="A976" i="8"/>
  <c r="I975" i="8"/>
  <c r="A975" i="8"/>
  <c r="I974" i="8"/>
  <c r="A974" i="8"/>
  <c r="I973" i="8"/>
  <c r="A973" i="8"/>
  <c r="I972" i="8"/>
  <c r="A972" i="8"/>
  <c r="I971" i="8"/>
  <c r="A971" i="8"/>
  <c r="I970" i="8"/>
  <c r="A970" i="8"/>
  <c r="I969" i="8"/>
  <c r="A969" i="8"/>
  <c r="I968" i="8"/>
  <c r="A968" i="8"/>
  <c r="I967" i="8"/>
  <c r="A967" i="8"/>
  <c r="I966" i="8"/>
  <c r="A966" i="8"/>
  <c r="I965" i="8"/>
  <c r="A965" i="8"/>
  <c r="I964" i="8"/>
  <c r="A964" i="8"/>
  <c r="I963" i="8"/>
  <c r="A963" i="8"/>
  <c r="I962" i="8"/>
  <c r="A962" i="8"/>
  <c r="I961" i="8"/>
  <c r="A961" i="8"/>
  <c r="I960" i="8"/>
  <c r="A960" i="8"/>
  <c r="I959" i="8"/>
  <c r="A959" i="8"/>
  <c r="I958" i="8"/>
  <c r="A958" i="8"/>
  <c r="I957" i="8"/>
  <c r="A957" i="8"/>
  <c r="I956" i="8"/>
  <c r="A956" i="8"/>
  <c r="I955" i="8"/>
  <c r="A955" i="8"/>
  <c r="I954" i="8"/>
  <c r="A954" i="8"/>
  <c r="I953" i="8"/>
  <c r="A953" i="8"/>
  <c r="I952" i="8"/>
  <c r="A952" i="8"/>
  <c r="I951" i="8"/>
  <c r="A951" i="8"/>
  <c r="I950" i="8"/>
  <c r="A950" i="8"/>
  <c r="I949" i="8"/>
  <c r="A949" i="8"/>
  <c r="I948" i="8"/>
  <c r="A948" i="8"/>
  <c r="I947" i="8"/>
  <c r="A947" i="8"/>
  <c r="I946" i="8"/>
  <c r="A946" i="8"/>
  <c r="I945" i="8"/>
  <c r="A945" i="8"/>
  <c r="I944" i="8"/>
  <c r="A944" i="8"/>
  <c r="I943" i="8"/>
  <c r="A943" i="8"/>
  <c r="I942" i="8"/>
  <c r="A942" i="8"/>
  <c r="I941" i="8"/>
  <c r="A941" i="8"/>
  <c r="I940" i="8"/>
  <c r="A940" i="8"/>
  <c r="I939" i="8"/>
  <c r="A939" i="8"/>
  <c r="I938" i="8"/>
  <c r="A938" i="8"/>
  <c r="I937" i="8"/>
  <c r="A937" i="8"/>
  <c r="I936" i="8"/>
  <c r="A936" i="8"/>
  <c r="I935" i="8"/>
  <c r="A935" i="8"/>
  <c r="I934" i="8"/>
  <c r="A934" i="8"/>
  <c r="I933" i="8"/>
  <c r="A933" i="8"/>
  <c r="I932" i="8"/>
  <c r="A932" i="8"/>
  <c r="I931" i="8"/>
  <c r="A931" i="8"/>
  <c r="I930" i="8"/>
  <c r="A930" i="8"/>
  <c r="I929" i="8"/>
  <c r="A929" i="8"/>
  <c r="I928" i="8"/>
  <c r="A928" i="8"/>
  <c r="I927" i="8"/>
  <c r="A927" i="8"/>
  <c r="I926" i="8"/>
  <c r="A926" i="8"/>
  <c r="I925" i="8"/>
  <c r="A925" i="8"/>
  <c r="I924" i="8"/>
  <c r="A924" i="8"/>
  <c r="I923" i="8"/>
  <c r="A923" i="8"/>
  <c r="I922" i="8"/>
  <c r="A922" i="8"/>
  <c r="I921" i="8"/>
  <c r="A921" i="8"/>
  <c r="I920" i="8"/>
  <c r="A920" i="8"/>
  <c r="I919" i="8"/>
  <c r="A919" i="8"/>
  <c r="I918" i="8"/>
  <c r="A918" i="8"/>
  <c r="I917" i="8"/>
  <c r="A917" i="8"/>
  <c r="I916" i="8"/>
  <c r="A916" i="8"/>
  <c r="I915" i="8"/>
  <c r="A915" i="8"/>
  <c r="I914" i="8"/>
  <c r="A914" i="8"/>
  <c r="I913" i="8"/>
  <c r="A913" i="8"/>
  <c r="I912" i="8"/>
  <c r="A912" i="8"/>
  <c r="I911" i="8"/>
  <c r="A911" i="8"/>
  <c r="I910" i="8"/>
  <c r="A910" i="8"/>
  <c r="I909" i="8"/>
  <c r="A909" i="8"/>
  <c r="I908" i="8"/>
  <c r="A908" i="8"/>
  <c r="I907" i="8"/>
  <c r="A907" i="8"/>
  <c r="I906" i="8"/>
  <c r="A906" i="8"/>
  <c r="I905" i="8"/>
  <c r="A905" i="8"/>
  <c r="I904" i="8"/>
  <c r="A904" i="8"/>
  <c r="I903" i="8"/>
  <c r="A903" i="8"/>
  <c r="I902" i="8"/>
  <c r="A902" i="8"/>
  <c r="I901" i="8"/>
  <c r="A901" i="8"/>
  <c r="I900" i="8"/>
  <c r="A900" i="8"/>
  <c r="I899" i="8"/>
  <c r="A899" i="8"/>
  <c r="I898" i="8"/>
  <c r="A898" i="8"/>
  <c r="I897" i="8"/>
  <c r="A897" i="8"/>
  <c r="I896" i="8"/>
  <c r="A896" i="8"/>
  <c r="I895" i="8"/>
  <c r="A895" i="8"/>
  <c r="I894" i="8"/>
  <c r="A894" i="8"/>
  <c r="I893" i="8"/>
  <c r="A893" i="8"/>
  <c r="I892" i="8"/>
  <c r="A892" i="8"/>
  <c r="I891" i="8"/>
  <c r="A891" i="8"/>
  <c r="I890" i="8"/>
  <c r="A890" i="8"/>
  <c r="I889" i="8"/>
  <c r="A889" i="8"/>
  <c r="I888" i="8"/>
  <c r="A888" i="8"/>
  <c r="I887" i="8"/>
  <c r="A887" i="8"/>
  <c r="I886" i="8"/>
  <c r="A886" i="8"/>
  <c r="I885" i="8"/>
  <c r="A885" i="8"/>
  <c r="I884" i="8"/>
  <c r="A884" i="8"/>
  <c r="I883" i="8"/>
  <c r="A883" i="8"/>
  <c r="I882" i="8"/>
  <c r="A882" i="8"/>
  <c r="I881" i="8"/>
  <c r="A881" i="8"/>
  <c r="I880" i="8"/>
  <c r="A880" i="8"/>
  <c r="I879" i="8"/>
  <c r="A879" i="8"/>
  <c r="I878" i="8"/>
  <c r="A878" i="8"/>
  <c r="I877" i="8"/>
  <c r="A877" i="8"/>
  <c r="I876" i="8"/>
  <c r="A876" i="8"/>
  <c r="I875" i="8"/>
  <c r="A875" i="8"/>
  <c r="I874" i="8"/>
  <c r="A874" i="8"/>
  <c r="I873" i="8"/>
  <c r="A873" i="8"/>
  <c r="I872" i="8"/>
  <c r="A872" i="8"/>
  <c r="I871" i="8"/>
  <c r="A871" i="8"/>
  <c r="I870" i="8"/>
  <c r="A870" i="8"/>
  <c r="I869" i="8"/>
  <c r="A869" i="8"/>
  <c r="I868" i="8"/>
  <c r="A868" i="8"/>
  <c r="I867" i="8"/>
  <c r="A867" i="8"/>
  <c r="I866" i="8"/>
  <c r="A866" i="8"/>
  <c r="I865" i="8"/>
  <c r="A865" i="8"/>
  <c r="I864" i="8"/>
  <c r="A864" i="8"/>
  <c r="I863" i="8"/>
  <c r="A863" i="8"/>
  <c r="I862" i="8"/>
  <c r="A862" i="8"/>
  <c r="I861" i="8"/>
  <c r="A861" i="8"/>
  <c r="I860" i="8"/>
  <c r="A860" i="8"/>
  <c r="I859" i="8"/>
  <c r="A859" i="8"/>
  <c r="I858" i="8"/>
  <c r="A858" i="8"/>
  <c r="I857" i="8"/>
  <c r="A857" i="8"/>
  <c r="I856" i="8"/>
  <c r="A856" i="8"/>
  <c r="I855" i="8"/>
  <c r="A855" i="8"/>
  <c r="I854" i="8"/>
  <c r="A854" i="8"/>
  <c r="I853" i="8"/>
  <c r="A853" i="8"/>
  <c r="I852" i="8"/>
  <c r="A852" i="8"/>
  <c r="I851" i="8"/>
  <c r="A851" i="8"/>
  <c r="I850" i="8"/>
  <c r="A850" i="8"/>
  <c r="I849" i="8"/>
  <c r="A849" i="8"/>
  <c r="I848" i="8"/>
  <c r="A848" i="8"/>
  <c r="I847" i="8"/>
  <c r="A847" i="8"/>
  <c r="I846" i="8"/>
  <c r="A846" i="8"/>
  <c r="I845" i="8"/>
  <c r="A845" i="8"/>
  <c r="I844" i="8"/>
  <c r="A844" i="8"/>
  <c r="I843" i="8"/>
  <c r="A843" i="8"/>
  <c r="I842" i="8"/>
  <c r="A842" i="8"/>
  <c r="I841" i="8"/>
  <c r="A841" i="8"/>
  <c r="I840" i="8"/>
  <c r="A840" i="8"/>
  <c r="I839" i="8"/>
  <c r="A839" i="8"/>
  <c r="I838" i="8"/>
  <c r="A838" i="8"/>
  <c r="I837" i="8"/>
  <c r="A837" i="8"/>
  <c r="I836" i="8"/>
  <c r="A836" i="8"/>
  <c r="I835" i="8"/>
  <c r="A835" i="8"/>
  <c r="I834" i="8"/>
  <c r="A834" i="8"/>
  <c r="I833" i="8"/>
  <c r="A833" i="8"/>
  <c r="I832" i="8"/>
  <c r="A832" i="8"/>
  <c r="I831" i="8"/>
  <c r="A831" i="8"/>
  <c r="I830" i="8"/>
  <c r="A830" i="8"/>
  <c r="I829" i="8"/>
  <c r="A829" i="8"/>
  <c r="I828" i="8"/>
  <c r="A828" i="8"/>
  <c r="I827" i="8"/>
  <c r="A827" i="8"/>
  <c r="I826" i="8"/>
  <c r="A826" i="8"/>
  <c r="I825" i="8"/>
  <c r="A825" i="8"/>
  <c r="I824" i="8"/>
  <c r="A824" i="8"/>
  <c r="I823" i="8"/>
  <c r="A823" i="8"/>
  <c r="I822" i="8"/>
  <c r="A822" i="8"/>
  <c r="I821" i="8"/>
  <c r="A821" i="8"/>
  <c r="I820" i="8"/>
  <c r="A820" i="8"/>
  <c r="I819" i="8"/>
  <c r="A819" i="8"/>
  <c r="I818" i="8"/>
  <c r="A818" i="8"/>
  <c r="I817" i="8"/>
  <c r="A817" i="8"/>
  <c r="I816" i="8"/>
  <c r="A816" i="8"/>
  <c r="I815" i="8"/>
  <c r="A815" i="8"/>
  <c r="I814" i="8"/>
  <c r="A814" i="8"/>
  <c r="I813" i="8"/>
  <c r="A813" i="8"/>
  <c r="I812" i="8"/>
  <c r="A812" i="8"/>
  <c r="I811" i="8"/>
  <c r="A811" i="8"/>
  <c r="I810" i="8"/>
  <c r="A810" i="8"/>
  <c r="I809" i="8"/>
  <c r="A809" i="8"/>
  <c r="I808" i="8"/>
  <c r="A808" i="8"/>
  <c r="I807" i="8"/>
  <c r="A807" i="8"/>
  <c r="I806" i="8"/>
  <c r="A806" i="8"/>
  <c r="I805" i="8"/>
  <c r="A805" i="8"/>
  <c r="I804" i="8"/>
  <c r="A804" i="8"/>
  <c r="I803" i="8"/>
  <c r="A803" i="8"/>
  <c r="I802" i="8"/>
  <c r="A802" i="8"/>
  <c r="I801" i="8"/>
  <c r="A801" i="8"/>
  <c r="I800" i="8"/>
  <c r="A800" i="8"/>
  <c r="I799" i="8"/>
  <c r="A799" i="8"/>
  <c r="I798" i="8"/>
  <c r="A798" i="8"/>
  <c r="I797" i="8"/>
  <c r="A797" i="8"/>
  <c r="I796" i="8"/>
  <c r="A796" i="8"/>
  <c r="I795" i="8"/>
  <c r="A795" i="8"/>
  <c r="I794" i="8"/>
  <c r="A794" i="8"/>
  <c r="I793" i="8"/>
  <c r="A793" i="8"/>
  <c r="I792" i="8"/>
  <c r="A792" i="8"/>
  <c r="I791" i="8"/>
  <c r="A791" i="8"/>
  <c r="I790" i="8"/>
  <c r="A790" i="8"/>
  <c r="I789" i="8"/>
  <c r="A789" i="8"/>
  <c r="I788" i="8"/>
  <c r="A788" i="8"/>
  <c r="I787" i="8"/>
  <c r="A787" i="8"/>
  <c r="I786" i="8"/>
  <c r="A786" i="8"/>
  <c r="I785" i="8"/>
  <c r="A785" i="8"/>
  <c r="I784" i="8"/>
  <c r="A784" i="8"/>
  <c r="I783" i="8"/>
  <c r="A783" i="8"/>
  <c r="I782" i="8"/>
  <c r="A782" i="8"/>
  <c r="I781" i="8"/>
  <c r="A781" i="8"/>
  <c r="I780" i="8"/>
  <c r="A780" i="8"/>
  <c r="I779" i="8"/>
  <c r="A779" i="8"/>
  <c r="I778" i="8"/>
  <c r="A778" i="8"/>
  <c r="I777" i="8"/>
  <c r="A777" i="8"/>
  <c r="I776" i="8"/>
  <c r="A776" i="8"/>
  <c r="I775" i="8"/>
  <c r="A775" i="8"/>
  <c r="I774" i="8"/>
  <c r="A774" i="8"/>
  <c r="I773" i="8"/>
  <c r="A773" i="8"/>
  <c r="I772" i="8"/>
  <c r="A772" i="8"/>
  <c r="I771" i="8"/>
  <c r="A771" i="8"/>
  <c r="I770" i="8"/>
  <c r="A770" i="8"/>
  <c r="I769" i="8"/>
  <c r="A769" i="8"/>
  <c r="I768" i="8"/>
  <c r="A768" i="8"/>
  <c r="I767" i="8"/>
  <c r="A767" i="8"/>
  <c r="I766" i="8"/>
  <c r="A766" i="8"/>
  <c r="I765" i="8"/>
  <c r="A765" i="8"/>
  <c r="I764" i="8"/>
  <c r="A764" i="8"/>
  <c r="I763" i="8"/>
  <c r="A763" i="8"/>
  <c r="I762" i="8"/>
  <c r="A762" i="8"/>
  <c r="I761" i="8"/>
  <c r="A761" i="8"/>
  <c r="I760" i="8"/>
  <c r="A760" i="8"/>
  <c r="I759" i="8"/>
  <c r="A759" i="8"/>
  <c r="I758" i="8"/>
  <c r="A758" i="8"/>
  <c r="I757" i="8"/>
  <c r="A757" i="8"/>
  <c r="I756" i="8"/>
  <c r="A756" i="8"/>
  <c r="I755" i="8"/>
  <c r="A755" i="8"/>
  <c r="I754" i="8"/>
  <c r="A754" i="8"/>
  <c r="I753" i="8"/>
  <c r="A753" i="8"/>
  <c r="I752" i="8"/>
  <c r="A752" i="8"/>
  <c r="I751" i="8"/>
  <c r="A751" i="8"/>
  <c r="I750" i="8"/>
  <c r="A750" i="8"/>
  <c r="I749" i="8"/>
  <c r="A749" i="8"/>
  <c r="I748" i="8"/>
  <c r="A748" i="8"/>
  <c r="I747" i="8"/>
  <c r="A747" i="8"/>
  <c r="I746" i="8"/>
  <c r="A746" i="8"/>
  <c r="I745" i="8"/>
  <c r="A745" i="8"/>
  <c r="I744" i="8"/>
  <c r="A744" i="8"/>
  <c r="I743" i="8"/>
  <c r="A743" i="8"/>
  <c r="I742" i="8"/>
  <c r="A742" i="8"/>
  <c r="I741" i="8"/>
  <c r="A741" i="8"/>
  <c r="I740" i="8"/>
  <c r="A740" i="8"/>
  <c r="I739" i="8"/>
  <c r="A739" i="8"/>
  <c r="I738" i="8"/>
  <c r="A738" i="8"/>
  <c r="I737" i="8"/>
  <c r="A737" i="8"/>
  <c r="I736" i="8"/>
  <c r="A736" i="8"/>
  <c r="I735" i="8"/>
  <c r="A735" i="8"/>
  <c r="I734" i="8"/>
  <c r="A734" i="8"/>
  <c r="I733" i="8"/>
  <c r="A733" i="8"/>
  <c r="I732" i="8"/>
  <c r="A732" i="8"/>
  <c r="I731" i="8"/>
  <c r="A731" i="8"/>
  <c r="I730" i="8"/>
  <c r="A730" i="8"/>
  <c r="I729" i="8"/>
  <c r="A729" i="8"/>
  <c r="I728" i="8"/>
  <c r="A728" i="8"/>
  <c r="I727" i="8"/>
  <c r="A727" i="8"/>
  <c r="I726" i="8"/>
  <c r="A726" i="8"/>
  <c r="I725" i="8"/>
  <c r="A725" i="8"/>
  <c r="I724" i="8"/>
  <c r="A724" i="8"/>
  <c r="I723" i="8"/>
  <c r="A723" i="8"/>
  <c r="I722" i="8"/>
  <c r="A722" i="8"/>
  <c r="I721" i="8"/>
  <c r="A721" i="8"/>
  <c r="I720" i="8"/>
  <c r="A720" i="8"/>
  <c r="I719" i="8"/>
  <c r="A719" i="8"/>
  <c r="I718" i="8"/>
  <c r="A718" i="8"/>
  <c r="I717" i="8"/>
  <c r="A717" i="8"/>
  <c r="I716" i="8"/>
  <c r="A716" i="8"/>
  <c r="I715" i="8"/>
  <c r="A715" i="8"/>
  <c r="I714" i="8"/>
  <c r="A714" i="8"/>
  <c r="I713" i="8"/>
  <c r="A713" i="8"/>
  <c r="I712" i="8"/>
  <c r="A712" i="8"/>
  <c r="I711" i="8"/>
  <c r="A711" i="8"/>
  <c r="I710" i="8"/>
  <c r="A710" i="8"/>
  <c r="I709" i="8"/>
  <c r="A709" i="8"/>
  <c r="I708" i="8"/>
  <c r="A708" i="8"/>
  <c r="I707" i="8"/>
  <c r="A707" i="8"/>
  <c r="I706" i="8"/>
  <c r="A706" i="8"/>
  <c r="I705" i="8"/>
  <c r="A705" i="8"/>
  <c r="I704" i="8"/>
  <c r="A704" i="8"/>
  <c r="I703" i="8"/>
  <c r="A703" i="8"/>
  <c r="I702" i="8"/>
  <c r="A702" i="8"/>
  <c r="I701" i="8"/>
  <c r="A701" i="8"/>
  <c r="I700" i="8"/>
  <c r="A700" i="8"/>
  <c r="I699" i="8"/>
  <c r="A699" i="8"/>
  <c r="I698" i="8"/>
  <c r="A698" i="8"/>
  <c r="I697" i="8"/>
  <c r="A697" i="8"/>
  <c r="I696" i="8"/>
  <c r="A696" i="8"/>
  <c r="I695" i="8"/>
  <c r="A695" i="8"/>
  <c r="I694" i="8"/>
  <c r="A694" i="8"/>
  <c r="I693" i="8"/>
  <c r="A693" i="8"/>
  <c r="I692" i="8"/>
  <c r="A692" i="8"/>
  <c r="I691" i="8"/>
  <c r="A691" i="8"/>
  <c r="I690" i="8"/>
  <c r="A690" i="8"/>
  <c r="I689" i="8"/>
  <c r="A689" i="8"/>
  <c r="I688" i="8"/>
  <c r="A688" i="8"/>
  <c r="I687" i="8"/>
  <c r="A687" i="8"/>
  <c r="I686" i="8"/>
  <c r="A686" i="8"/>
  <c r="I685" i="8"/>
  <c r="A685" i="8"/>
  <c r="I684" i="8"/>
  <c r="A684" i="8"/>
  <c r="I683" i="8"/>
  <c r="A683" i="8"/>
  <c r="I682" i="8"/>
  <c r="A682" i="8"/>
  <c r="I681" i="8"/>
  <c r="A681" i="8"/>
  <c r="I680" i="8"/>
  <c r="A680" i="8"/>
  <c r="I679" i="8"/>
  <c r="A679" i="8"/>
  <c r="I678" i="8"/>
  <c r="A678" i="8"/>
  <c r="I677" i="8"/>
  <c r="A677" i="8"/>
  <c r="I676" i="8"/>
  <c r="A676" i="8"/>
  <c r="I675" i="8"/>
  <c r="A675" i="8"/>
  <c r="I674" i="8"/>
  <c r="A674" i="8"/>
  <c r="I673" i="8"/>
  <c r="A673" i="8"/>
  <c r="I672" i="8"/>
  <c r="A672" i="8"/>
  <c r="I671" i="8"/>
  <c r="A671" i="8"/>
  <c r="I670" i="8"/>
  <c r="A670" i="8"/>
  <c r="I669" i="8"/>
  <c r="A669" i="8"/>
  <c r="I668" i="8"/>
  <c r="A668" i="8"/>
  <c r="I667" i="8"/>
  <c r="A667" i="8"/>
  <c r="I666" i="8"/>
  <c r="A666" i="8"/>
  <c r="I665" i="8"/>
  <c r="A665" i="8"/>
  <c r="I664" i="8"/>
  <c r="A664" i="8"/>
  <c r="I663" i="8"/>
  <c r="A663" i="8"/>
  <c r="I662" i="8"/>
  <c r="A662" i="8"/>
  <c r="I661" i="8"/>
  <c r="A661" i="8"/>
  <c r="I660" i="8"/>
  <c r="A660" i="8"/>
  <c r="I659" i="8"/>
  <c r="A659" i="8"/>
  <c r="I658" i="8"/>
  <c r="A658" i="8"/>
  <c r="I657" i="8"/>
  <c r="A657" i="8"/>
  <c r="I656" i="8"/>
  <c r="A656" i="8"/>
  <c r="I655" i="8"/>
  <c r="A655" i="8"/>
  <c r="I654" i="8"/>
  <c r="A654" i="8"/>
  <c r="I653" i="8"/>
  <c r="A653" i="8"/>
  <c r="I652" i="8"/>
  <c r="A652" i="8"/>
  <c r="I651" i="8"/>
  <c r="A651" i="8"/>
  <c r="I650" i="8"/>
  <c r="A650" i="8"/>
  <c r="I649" i="8"/>
  <c r="A649" i="8"/>
  <c r="I648" i="8"/>
  <c r="A648" i="8"/>
  <c r="I647" i="8"/>
  <c r="A647" i="8"/>
  <c r="I646" i="8"/>
  <c r="A646" i="8"/>
  <c r="I645" i="8"/>
  <c r="A645" i="8"/>
  <c r="I644" i="8"/>
  <c r="A644" i="8"/>
  <c r="I643" i="8"/>
  <c r="A643" i="8"/>
  <c r="I642" i="8"/>
  <c r="A642" i="8"/>
  <c r="I641" i="8"/>
  <c r="A641" i="8"/>
  <c r="I640" i="8"/>
  <c r="A640" i="8"/>
  <c r="I639" i="8"/>
  <c r="A639" i="8"/>
  <c r="I638" i="8"/>
  <c r="A638" i="8"/>
  <c r="I637" i="8"/>
  <c r="A637" i="8"/>
  <c r="I636" i="8"/>
  <c r="A636" i="8"/>
  <c r="I635" i="8"/>
  <c r="A635" i="8"/>
  <c r="I634" i="8"/>
  <c r="A634" i="8"/>
  <c r="I633" i="8"/>
  <c r="A633" i="8"/>
  <c r="I632" i="8"/>
  <c r="A632" i="8"/>
  <c r="I631" i="8"/>
  <c r="A631" i="8"/>
  <c r="I630" i="8"/>
  <c r="A630" i="8"/>
  <c r="I629" i="8"/>
  <c r="A629" i="8"/>
  <c r="I628" i="8"/>
  <c r="A628" i="8"/>
  <c r="I627" i="8"/>
  <c r="A627" i="8"/>
  <c r="I626" i="8"/>
  <c r="A626" i="8"/>
  <c r="I625" i="8"/>
  <c r="A625" i="8"/>
  <c r="I624" i="8"/>
  <c r="A624" i="8"/>
  <c r="I623" i="8"/>
  <c r="A623" i="8"/>
  <c r="I622" i="8"/>
  <c r="A622" i="8"/>
  <c r="I621" i="8"/>
  <c r="A621" i="8"/>
  <c r="I620" i="8"/>
  <c r="A620" i="8"/>
  <c r="I619" i="8"/>
  <c r="A619" i="8"/>
  <c r="I618" i="8"/>
  <c r="A618" i="8"/>
  <c r="I617" i="8"/>
  <c r="A617" i="8"/>
  <c r="I616" i="8"/>
  <c r="A616" i="8"/>
  <c r="I615" i="8"/>
  <c r="A615" i="8"/>
  <c r="I614" i="8"/>
  <c r="A614" i="8"/>
  <c r="I613" i="8"/>
  <c r="A613" i="8"/>
  <c r="I612" i="8"/>
  <c r="A612" i="8"/>
  <c r="I611" i="8"/>
  <c r="A611" i="8"/>
  <c r="I610" i="8"/>
  <c r="A610" i="8"/>
  <c r="I609" i="8"/>
  <c r="A609" i="8"/>
  <c r="I608" i="8"/>
  <c r="A608" i="8"/>
  <c r="I607" i="8"/>
  <c r="A607" i="8"/>
  <c r="I606" i="8"/>
  <c r="A606" i="8"/>
  <c r="I605" i="8"/>
  <c r="A605" i="8"/>
  <c r="I604" i="8"/>
  <c r="A604" i="8"/>
  <c r="I603" i="8"/>
  <c r="A603" i="8"/>
  <c r="I602" i="8"/>
  <c r="A602" i="8"/>
  <c r="I601" i="8"/>
  <c r="A601" i="8"/>
  <c r="I600" i="8"/>
  <c r="A600" i="8"/>
  <c r="I599" i="8"/>
  <c r="A599" i="8"/>
  <c r="I598" i="8"/>
  <c r="A598" i="8"/>
  <c r="I597" i="8"/>
  <c r="A597" i="8"/>
  <c r="I596" i="8"/>
  <c r="A596" i="8"/>
  <c r="I595" i="8"/>
  <c r="A595" i="8"/>
  <c r="I594" i="8"/>
  <c r="A594" i="8"/>
  <c r="I593" i="8"/>
  <c r="A593" i="8"/>
  <c r="I592" i="8"/>
  <c r="A592" i="8"/>
  <c r="I591" i="8"/>
  <c r="A591" i="8"/>
  <c r="I590" i="8"/>
  <c r="A590" i="8"/>
  <c r="I589" i="8"/>
  <c r="A589" i="8"/>
  <c r="I588" i="8"/>
  <c r="A588" i="8"/>
  <c r="I587" i="8"/>
  <c r="A587" i="8"/>
  <c r="I586" i="8"/>
  <c r="A586" i="8"/>
  <c r="I585" i="8"/>
  <c r="A585" i="8"/>
  <c r="I584" i="8"/>
  <c r="A584" i="8"/>
  <c r="I583" i="8"/>
  <c r="A583" i="8"/>
  <c r="I582" i="8"/>
  <c r="A582" i="8"/>
  <c r="I581" i="8"/>
  <c r="A581" i="8"/>
  <c r="I580" i="8"/>
  <c r="A580" i="8"/>
  <c r="I579" i="8"/>
  <c r="A579" i="8"/>
  <c r="I578" i="8"/>
  <c r="A578" i="8"/>
  <c r="I577" i="8"/>
  <c r="A577" i="8"/>
  <c r="I576" i="8"/>
  <c r="A576" i="8"/>
  <c r="I575" i="8"/>
  <c r="A575" i="8"/>
  <c r="I574" i="8"/>
  <c r="A574" i="8"/>
  <c r="I573" i="8"/>
  <c r="A573" i="8"/>
  <c r="I572" i="8"/>
  <c r="A572" i="8"/>
  <c r="I571" i="8"/>
  <c r="A571" i="8"/>
  <c r="I570" i="8"/>
  <c r="A570" i="8"/>
  <c r="I569" i="8"/>
  <c r="A569" i="8"/>
  <c r="I568" i="8"/>
  <c r="A568" i="8"/>
  <c r="I567" i="8"/>
  <c r="A567" i="8"/>
  <c r="I566" i="8"/>
  <c r="A566" i="8"/>
  <c r="I565" i="8"/>
  <c r="A565" i="8"/>
  <c r="I564" i="8"/>
  <c r="A564" i="8"/>
  <c r="I563" i="8"/>
  <c r="A563" i="8"/>
  <c r="I562" i="8"/>
  <c r="A562" i="8"/>
  <c r="I561" i="8"/>
  <c r="A561" i="8"/>
  <c r="I560" i="8"/>
  <c r="A560" i="8"/>
  <c r="I559" i="8"/>
  <c r="A559" i="8"/>
  <c r="I558" i="8"/>
  <c r="A558" i="8"/>
  <c r="I557" i="8"/>
  <c r="A557" i="8"/>
  <c r="I556" i="8"/>
  <c r="A556" i="8"/>
  <c r="I555" i="8"/>
  <c r="A555" i="8"/>
  <c r="I554" i="8"/>
  <c r="A554" i="8"/>
  <c r="I553" i="8"/>
  <c r="A553" i="8"/>
  <c r="I552" i="8"/>
  <c r="A552" i="8"/>
  <c r="I551" i="8"/>
  <c r="A551" i="8"/>
  <c r="I550" i="8"/>
  <c r="A550" i="8"/>
  <c r="I549" i="8"/>
  <c r="A549" i="8"/>
  <c r="I548" i="8"/>
  <c r="A548" i="8"/>
  <c r="I547" i="8"/>
  <c r="A547" i="8"/>
  <c r="I546" i="8"/>
  <c r="A546" i="8"/>
  <c r="I545" i="8"/>
  <c r="A545" i="8"/>
  <c r="I544" i="8"/>
  <c r="A544" i="8"/>
  <c r="I543" i="8"/>
  <c r="A543" i="8"/>
  <c r="I542" i="8"/>
  <c r="A542" i="8"/>
  <c r="I541" i="8"/>
  <c r="A541" i="8"/>
  <c r="I540" i="8"/>
  <c r="A540" i="8"/>
  <c r="I539" i="8"/>
  <c r="A539" i="8"/>
  <c r="I538" i="8"/>
  <c r="A538" i="8"/>
  <c r="I537" i="8"/>
  <c r="A537" i="8"/>
  <c r="I536" i="8"/>
  <c r="A536" i="8"/>
  <c r="I535" i="8"/>
  <c r="A535" i="8"/>
  <c r="I534" i="8"/>
  <c r="A534" i="8"/>
  <c r="I533" i="8"/>
  <c r="A533" i="8"/>
  <c r="I532" i="8"/>
  <c r="A532" i="8"/>
  <c r="I531" i="8"/>
  <c r="A531" i="8"/>
  <c r="I530" i="8"/>
  <c r="A530" i="8"/>
  <c r="I529" i="8"/>
  <c r="A529" i="8"/>
  <c r="I528" i="8"/>
  <c r="A528" i="8"/>
  <c r="I527" i="8"/>
  <c r="A527" i="8"/>
  <c r="I526" i="8"/>
  <c r="A526" i="8"/>
  <c r="I525" i="8"/>
  <c r="A525" i="8"/>
  <c r="I524" i="8"/>
  <c r="A524" i="8"/>
  <c r="I523" i="8"/>
  <c r="A523" i="8"/>
  <c r="I522" i="8"/>
  <c r="A522" i="8"/>
  <c r="I521" i="8"/>
  <c r="A521" i="8"/>
  <c r="I520" i="8"/>
  <c r="A520" i="8"/>
  <c r="I519" i="8"/>
  <c r="A519" i="8"/>
  <c r="I518" i="8"/>
  <c r="A518" i="8"/>
  <c r="I517" i="8"/>
  <c r="A517" i="8"/>
  <c r="I516" i="8"/>
  <c r="A516" i="8"/>
  <c r="I515" i="8"/>
  <c r="A515" i="8"/>
  <c r="I514" i="8"/>
  <c r="A514" i="8"/>
  <c r="I513" i="8"/>
  <c r="A513" i="8"/>
  <c r="I512" i="8"/>
  <c r="A512" i="8"/>
  <c r="I511" i="8"/>
  <c r="A511" i="8"/>
  <c r="I510" i="8"/>
  <c r="A510" i="8"/>
  <c r="I509" i="8"/>
  <c r="A509" i="8"/>
  <c r="I508" i="8"/>
  <c r="A508" i="8"/>
  <c r="I507" i="8"/>
  <c r="A507" i="8"/>
  <c r="I506" i="8"/>
  <c r="A506" i="8"/>
  <c r="I505" i="8"/>
  <c r="A505" i="8"/>
  <c r="I504" i="8"/>
  <c r="A504" i="8"/>
  <c r="I503" i="8"/>
  <c r="A503" i="8"/>
  <c r="I502" i="8"/>
  <c r="A502" i="8"/>
  <c r="I501" i="8"/>
  <c r="A501" i="8"/>
  <c r="I500" i="8"/>
  <c r="A500" i="8"/>
  <c r="I499" i="8"/>
  <c r="A499" i="8"/>
  <c r="I498" i="8"/>
  <c r="A498" i="8"/>
  <c r="I497" i="8"/>
  <c r="A497" i="8"/>
  <c r="I496" i="8"/>
  <c r="A496" i="8"/>
  <c r="I495" i="8"/>
  <c r="A495" i="8"/>
  <c r="I494" i="8"/>
  <c r="A494" i="8"/>
  <c r="I493" i="8"/>
  <c r="A493" i="8"/>
  <c r="I492" i="8"/>
  <c r="A492" i="8"/>
  <c r="I491" i="8"/>
  <c r="A491" i="8"/>
  <c r="I490" i="8"/>
  <c r="A490" i="8"/>
  <c r="I489" i="8"/>
  <c r="A489" i="8"/>
  <c r="I488" i="8"/>
  <c r="A488" i="8"/>
  <c r="I487" i="8"/>
  <c r="A487" i="8"/>
  <c r="I486" i="8"/>
  <c r="A486" i="8"/>
  <c r="I485" i="8"/>
  <c r="A485" i="8"/>
  <c r="I484" i="8"/>
  <c r="A484" i="8"/>
  <c r="I483" i="8"/>
  <c r="A483" i="8"/>
  <c r="I482" i="8"/>
  <c r="A482" i="8"/>
  <c r="I481" i="8"/>
  <c r="A481" i="8"/>
  <c r="I480" i="8"/>
  <c r="A480" i="8"/>
  <c r="I479" i="8"/>
  <c r="A479" i="8"/>
  <c r="I478" i="8"/>
  <c r="A478" i="8"/>
  <c r="I477" i="8"/>
  <c r="A477" i="8"/>
  <c r="I476" i="8"/>
  <c r="A476" i="8"/>
  <c r="I475" i="8"/>
  <c r="A475" i="8"/>
  <c r="I474" i="8"/>
  <c r="A474" i="8"/>
  <c r="I473" i="8"/>
  <c r="A473" i="8"/>
  <c r="I472" i="8"/>
  <c r="A472" i="8"/>
  <c r="I471" i="8"/>
  <c r="A471" i="8"/>
  <c r="I470" i="8"/>
  <c r="A470" i="8"/>
  <c r="I469" i="8"/>
  <c r="A469" i="8"/>
  <c r="I468" i="8"/>
  <c r="A468" i="8"/>
  <c r="I467" i="8"/>
  <c r="A467" i="8"/>
  <c r="I466" i="8"/>
  <c r="A466" i="8"/>
  <c r="I465" i="8"/>
  <c r="A465" i="8"/>
  <c r="I464" i="8"/>
  <c r="A464" i="8"/>
  <c r="I463" i="8"/>
  <c r="A463" i="8"/>
  <c r="I462" i="8"/>
  <c r="A462" i="8"/>
  <c r="I461" i="8"/>
  <c r="A461" i="8"/>
  <c r="I460" i="8"/>
  <c r="A460" i="8"/>
  <c r="I459" i="8"/>
  <c r="A459" i="8"/>
  <c r="I458" i="8"/>
  <c r="A458" i="8"/>
  <c r="I457" i="8"/>
  <c r="A457" i="8"/>
  <c r="I456" i="8"/>
  <c r="A456" i="8"/>
  <c r="I455" i="8"/>
  <c r="A455" i="8"/>
  <c r="I454" i="8"/>
  <c r="A454" i="8"/>
  <c r="I453" i="8"/>
  <c r="A453" i="8"/>
  <c r="I452" i="8"/>
  <c r="A452" i="8"/>
  <c r="I451" i="8"/>
  <c r="A451" i="8"/>
  <c r="I450" i="8"/>
  <c r="A450" i="8"/>
  <c r="I449" i="8"/>
  <c r="A449" i="8"/>
  <c r="I448" i="8"/>
  <c r="A448" i="8"/>
  <c r="I447" i="8"/>
  <c r="A447" i="8"/>
  <c r="I446" i="8"/>
  <c r="A446" i="8"/>
  <c r="I445" i="8"/>
  <c r="A445" i="8"/>
  <c r="I444" i="8"/>
  <c r="A444" i="8"/>
  <c r="I443" i="8"/>
  <c r="A443" i="8"/>
  <c r="I442" i="8"/>
  <c r="A442" i="8"/>
  <c r="I441" i="8"/>
  <c r="A441" i="8"/>
  <c r="I440" i="8"/>
  <c r="A440" i="8"/>
  <c r="I439" i="8"/>
  <c r="A439" i="8"/>
  <c r="I438" i="8"/>
  <c r="A438" i="8"/>
  <c r="I437" i="8"/>
  <c r="A437" i="8"/>
  <c r="I436" i="8"/>
  <c r="A436" i="8"/>
  <c r="I435" i="8"/>
  <c r="A435" i="8"/>
  <c r="I434" i="8"/>
  <c r="A434" i="8"/>
  <c r="I433" i="8"/>
  <c r="A433" i="8"/>
  <c r="I432" i="8"/>
  <c r="A432" i="8"/>
  <c r="I431" i="8"/>
  <c r="A431" i="8"/>
  <c r="I430" i="8"/>
  <c r="A430" i="8"/>
  <c r="I429" i="8"/>
  <c r="A429" i="8"/>
  <c r="I428" i="8"/>
  <c r="A428" i="8"/>
  <c r="I427" i="8"/>
  <c r="A427" i="8"/>
  <c r="I426" i="8"/>
  <c r="A426" i="8"/>
  <c r="I425" i="8"/>
  <c r="A425" i="8"/>
  <c r="I424" i="8"/>
  <c r="A424" i="8"/>
  <c r="I423" i="8"/>
  <c r="A423" i="8"/>
  <c r="I422" i="8"/>
  <c r="A422" i="8"/>
  <c r="I421" i="8"/>
  <c r="A421" i="8"/>
  <c r="I420" i="8"/>
  <c r="A420" i="8"/>
  <c r="I419" i="8"/>
  <c r="A419" i="8"/>
  <c r="I418" i="8"/>
  <c r="A418" i="8"/>
  <c r="I417" i="8"/>
  <c r="A417" i="8"/>
  <c r="I416" i="8"/>
  <c r="A416" i="8"/>
  <c r="I415" i="8"/>
  <c r="A415" i="8"/>
  <c r="I414" i="8"/>
  <c r="A414" i="8"/>
  <c r="I413" i="8"/>
  <c r="A413" i="8"/>
  <c r="I412" i="8"/>
  <c r="A412" i="8"/>
  <c r="I411" i="8"/>
  <c r="A411" i="8"/>
  <c r="I410" i="8"/>
  <c r="A410" i="8"/>
  <c r="I409" i="8"/>
  <c r="A409" i="8"/>
  <c r="I408" i="8"/>
  <c r="A408" i="8"/>
  <c r="I407" i="8"/>
  <c r="A407" i="8"/>
  <c r="I406" i="8"/>
  <c r="A406" i="8"/>
  <c r="I405" i="8"/>
  <c r="A405" i="8"/>
  <c r="I404" i="8"/>
  <c r="A404" i="8"/>
  <c r="I403" i="8"/>
  <c r="A403" i="8"/>
  <c r="I402" i="8"/>
  <c r="A402" i="8"/>
  <c r="I401" i="8"/>
  <c r="A401" i="8"/>
  <c r="I400" i="8"/>
  <c r="A400" i="8"/>
  <c r="I399" i="8"/>
  <c r="A399" i="8"/>
  <c r="I398" i="8"/>
  <c r="A398" i="8"/>
  <c r="I397" i="8"/>
  <c r="A397" i="8"/>
  <c r="I396" i="8"/>
  <c r="A396" i="8"/>
  <c r="I395" i="8"/>
  <c r="A395" i="8"/>
  <c r="I394" i="8"/>
  <c r="A394" i="8"/>
  <c r="I393" i="8"/>
  <c r="A393" i="8"/>
  <c r="I392" i="8"/>
  <c r="A392" i="8"/>
  <c r="I391" i="8"/>
  <c r="A391" i="8"/>
  <c r="I390" i="8"/>
  <c r="A390" i="8"/>
  <c r="I389" i="8"/>
  <c r="A389" i="8"/>
  <c r="I388" i="8"/>
  <c r="A388" i="8"/>
  <c r="I387" i="8"/>
  <c r="A387" i="8"/>
  <c r="I386" i="8"/>
  <c r="A386" i="8"/>
  <c r="I385" i="8"/>
  <c r="A385" i="8"/>
  <c r="I384" i="8"/>
  <c r="A384" i="8"/>
  <c r="I383" i="8"/>
  <c r="A383" i="8"/>
  <c r="I382" i="8"/>
  <c r="A382" i="8"/>
  <c r="I381" i="8"/>
  <c r="A381" i="8"/>
  <c r="I380" i="8"/>
  <c r="A380" i="8"/>
  <c r="I379" i="8"/>
  <c r="A379" i="8"/>
  <c r="I378" i="8"/>
  <c r="A378" i="8"/>
  <c r="I377" i="8"/>
  <c r="A377" i="8"/>
  <c r="I376" i="8"/>
  <c r="A376" i="8"/>
  <c r="I375" i="8"/>
  <c r="A375" i="8"/>
  <c r="I374" i="8"/>
  <c r="A374" i="8"/>
  <c r="I373" i="8"/>
  <c r="A373" i="8"/>
  <c r="I372" i="8"/>
  <c r="A372" i="8"/>
  <c r="I371" i="8"/>
  <c r="A371" i="8"/>
  <c r="I370" i="8"/>
  <c r="A370" i="8"/>
  <c r="I369" i="8"/>
  <c r="A369" i="8"/>
  <c r="I368" i="8"/>
  <c r="A368" i="8"/>
  <c r="I367" i="8"/>
  <c r="A367" i="8"/>
  <c r="I366" i="8"/>
  <c r="A366" i="8"/>
  <c r="I365" i="8"/>
  <c r="A365" i="8"/>
  <c r="I364" i="8"/>
  <c r="A364" i="8"/>
  <c r="I363" i="8"/>
  <c r="A363" i="8"/>
  <c r="I362" i="8"/>
  <c r="A362" i="8"/>
  <c r="I361" i="8"/>
  <c r="A361" i="8"/>
  <c r="I360" i="8"/>
  <c r="A360" i="8"/>
  <c r="I359" i="8"/>
  <c r="A359" i="8"/>
  <c r="I358" i="8"/>
  <c r="A358" i="8"/>
  <c r="I357" i="8"/>
  <c r="A357" i="8"/>
  <c r="I356" i="8"/>
  <c r="A356" i="8"/>
  <c r="I355" i="8"/>
  <c r="A355" i="8"/>
  <c r="I354" i="8"/>
  <c r="A354" i="8"/>
  <c r="I353" i="8"/>
  <c r="A353" i="8"/>
  <c r="I352" i="8"/>
  <c r="A352" i="8"/>
  <c r="I351" i="8"/>
  <c r="A351" i="8"/>
  <c r="I350" i="8"/>
  <c r="A350" i="8"/>
  <c r="I349" i="8"/>
  <c r="A349" i="8"/>
  <c r="I348" i="8"/>
  <c r="A348" i="8"/>
  <c r="I347" i="8"/>
  <c r="A347" i="8"/>
  <c r="I346" i="8"/>
  <c r="A346" i="8"/>
  <c r="I345" i="8"/>
  <c r="A345" i="8"/>
  <c r="I344" i="8"/>
  <c r="A344" i="8"/>
  <c r="I343" i="8"/>
  <c r="A343" i="8"/>
  <c r="I342" i="8"/>
  <c r="A342" i="8"/>
  <c r="I341" i="8"/>
  <c r="A341" i="8"/>
  <c r="I340" i="8"/>
  <c r="A340" i="8"/>
  <c r="I339" i="8"/>
  <c r="A339" i="8"/>
  <c r="I338" i="8"/>
  <c r="A338" i="8"/>
  <c r="I337" i="8"/>
  <c r="A337" i="8"/>
  <c r="I336" i="8"/>
  <c r="A336" i="8"/>
  <c r="I335" i="8"/>
  <c r="A335" i="8"/>
  <c r="I334" i="8"/>
  <c r="A334" i="8"/>
  <c r="I333" i="8"/>
  <c r="A333" i="8"/>
  <c r="I332" i="8"/>
  <c r="A332" i="8"/>
  <c r="I331" i="8"/>
  <c r="A331" i="8"/>
  <c r="I330" i="8"/>
  <c r="A330" i="8"/>
  <c r="I329" i="8"/>
  <c r="A329" i="8"/>
  <c r="I328" i="8"/>
  <c r="A328" i="8"/>
  <c r="I327" i="8"/>
  <c r="A327" i="8"/>
  <c r="I326" i="8"/>
  <c r="A326" i="8"/>
  <c r="I325" i="8"/>
  <c r="A325" i="8"/>
  <c r="I324" i="8"/>
  <c r="A324" i="8"/>
  <c r="I323" i="8"/>
  <c r="A323" i="8"/>
  <c r="I322" i="8"/>
  <c r="A322" i="8"/>
  <c r="I321" i="8"/>
  <c r="A321" i="8"/>
  <c r="I320" i="8"/>
  <c r="A320" i="8"/>
  <c r="I319" i="8"/>
  <c r="A319" i="8"/>
  <c r="I318" i="8"/>
  <c r="A318" i="8"/>
  <c r="I317" i="8"/>
  <c r="A317" i="8"/>
  <c r="I316" i="8"/>
  <c r="A316" i="8"/>
  <c r="I315" i="8"/>
  <c r="A315" i="8"/>
  <c r="I314" i="8"/>
  <c r="A314" i="8"/>
  <c r="I313" i="8"/>
  <c r="A313" i="8"/>
  <c r="I312" i="8"/>
  <c r="A312" i="8"/>
  <c r="I311" i="8"/>
  <c r="A311" i="8"/>
  <c r="I310" i="8"/>
  <c r="A310" i="8"/>
  <c r="I309" i="8"/>
  <c r="A309" i="8"/>
  <c r="I308" i="8"/>
  <c r="A308" i="8"/>
  <c r="I307" i="8"/>
  <c r="A307" i="8"/>
  <c r="I306" i="8"/>
  <c r="A306" i="8"/>
  <c r="I305" i="8"/>
  <c r="A305" i="8"/>
  <c r="I304" i="8"/>
  <c r="A304" i="8"/>
  <c r="I303" i="8"/>
  <c r="A303" i="8"/>
  <c r="I302" i="8"/>
  <c r="A302" i="8"/>
  <c r="I301" i="8"/>
  <c r="A301" i="8"/>
  <c r="I300" i="8"/>
  <c r="A300" i="8"/>
  <c r="I299" i="8"/>
  <c r="A299" i="8"/>
  <c r="I298" i="8"/>
  <c r="A298" i="8"/>
  <c r="I297" i="8"/>
  <c r="A297" i="8"/>
  <c r="I296" i="8"/>
  <c r="A296" i="8"/>
  <c r="I295" i="8"/>
  <c r="A295" i="8"/>
  <c r="I294" i="8"/>
  <c r="A294" i="8"/>
  <c r="I293" i="8"/>
  <c r="A293" i="8"/>
  <c r="I292" i="8"/>
  <c r="A292" i="8"/>
  <c r="I291" i="8"/>
  <c r="A291" i="8"/>
  <c r="I290" i="8"/>
  <c r="A290" i="8"/>
  <c r="I289" i="8"/>
  <c r="A289" i="8"/>
  <c r="I288" i="8"/>
  <c r="A288" i="8"/>
  <c r="I287" i="8"/>
  <c r="A287" i="8"/>
  <c r="I286" i="8"/>
  <c r="A286" i="8"/>
  <c r="I285" i="8"/>
  <c r="A285" i="8"/>
  <c r="I284" i="8"/>
  <c r="A284" i="8"/>
  <c r="I283" i="8"/>
  <c r="A283" i="8"/>
  <c r="I282" i="8"/>
  <c r="A282" i="8"/>
  <c r="I281" i="8"/>
  <c r="A281" i="8"/>
  <c r="I280" i="8"/>
  <c r="A280" i="8"/>
  <c r="I279" i="8"/>
  <c r="A279" i="8"/>
  <c r="I278" i="8"/>
  <c r="A278" i="8"/>
  <c r="I277" i="8"/>
  <c r="A277" i="8"/>
  <c r="I276" i="8"/>
  <c r="A276" i="8"/>
  <c r="I275" i="8"/>
  <c r="A275" i="8"/>
  <c r="I274" i="8"/>
  <c r="A274" i="8"/>
  <c r="I273" i="8"/>
  <c r="A273" i="8"/>
  <c r="I272" i="8"/>
  <c r="A272" i="8"/>
  <c r="I271" i="8"/>
  <c r="A271" i="8"/>
  <c r="I270" i="8"/>
  <c r="A270" i="8"/>
  <c r="I269" i="8"/>
  <c r="A269" i="8"/>
  <c r="I268" i="8"/>
  <c r="A268" i="8"/>
  <c r="I267" i="8"/>
  <c r="A267" i="8"/>
  <c r="I266" i="8"/>
  <c r="A266" i="8"/>
  <c r="I265" i="8"/>
  <c r="A265" i="8"/>
  <c r="I264" i="8"/>
  <c r="A264" i="8"/>
  <c r="I263" i="8"/>
  <c r="A263" i="8"/>
  <c r="I262" i="8"/>
  <c r="A262" i="8"/>
  <c r="I261" i="8"/>
  <c r="A261" i="8"/>
  <c r="I260" i="8"/>
  <c r="A260" i="8"/>
  <c r="I259" i="8"/>
  <c r="A259" i="8"/>
  <c r="I258" i="8"/>
  <c r="A258" i="8"/>
  <c r="I257" i="8"/>
  <c r="A257" i="8"/>
  <c r="I256" i="8"/>
  <c r="A256" i="8"/>
  <c r="I255" i="8"/>
  <c r="A255" i="8"/>
  <c r="I254" i="8"/>
  <c r="A254" i="8"/>
  <c r="I253" i="8"/>
  <c r="A253" i="8"/>
  <c r="I252" i="8"/>
  <c r="A252" i="8"/>
  <c r="I251" i="8"/>
  <c r="A251" i="8"/>
  <c r="I250" i="8"/>
  <c r="A250" i="8"/>
  <c r="I249" i="8"/>
  <c r="A249" i="8"/>
  <c r="I248" i="8"/>
  <c r="A248" i="8"/>
  <c r="I247" i="8"/>
  <c r="A247" i="8"/>
  <c r="I246" i="8"/>
  <c r="A246" i="8"/>
  <c r="I245" i="8"/>
  <c r="A245" i="8"/>
  <c r="I244" i="8"/>
  <c r="A244" i="8"/>
  <c r="I243" i="8"/>
  <c r="A243" i="8"/>
  <c r="I242" i="8"/>
  <c r="A242" i="8"/>
  <c r="I241" i="8"/>
  <c r="A241" i="8"/>
  <c r="I240" i="8"/>
  <c r="A240" i="8"/>
  <c r="I239" i="8"/>
  <c r="A239" i="8"/>
  <c r="I238" i="8"/>
  <c r="A238" i="8"/>
  <c r="I237" i="8"/>
  <c r="A237" i="8"/>
  <c r="I236" i="8"/>
  <c r="A236" i="8"/>
  <c r="I235" i="8"/>
  <c r="A235" i="8"/>
  <c r="I234" i="8"/>
  <c r="A234" i="8"/>
  <c r="I233" i="8"/>
  <c r="A233" i="8"/>
  <c r="I232" i="8"/>
  <c r="A232" i="8"/>
  <c r="I231" i="8"/>
  <c r="A231" i="8"/>
  <c r="I230" i="8"/>
  <c r="A230" i="8"/>
  <c r="I229" i="8"/>
  <c r="A229" i="8"/>
  <c r="I228" i="8"/>
  <c r="A228" i="8"/>
  <c r="I227" i="8"/>
  <c r="A227" i="8"/>
  <c r="I226" i="8"/>
  <c r="A226" i="8"/>
  <c r="I225" i="8"/>
  <c r="A225" i="8"/>
  <c r="I224" i="8"/>
  <c r="A224" i="8"/>
  <c r="I223" i="8"/>
  <c r="A223" i="8"/>
  <c r="I222" i="8"/>
  <c r="A222" i="8"/>
  <c r="I221" i="8"/>
  <c r="A221" i="8"/>
  <c r="I220" i="8"/>
  <c r="A220" i="8"/>
  <c r="I219" i="8"/>
  <c r="A219" i="8"/>
  <c r="I218" i="8"/>
  <c r="A218" i="8"/>
  <c r="I217" i="8"/>
  <c r="A217" i="8"/>
  <c r="I216" i="8"/>
  <c r="A216" i="8"/>
  <c r="I215" i="8"/>
  <c r="A215" i="8"/>
  <c r="I214" i="8"/>
  <c r="A214" i="8"/>
  <c r="I213" i="8"/>
  <c r="A213" i="8"/>
  <c r="I212" i="8"/>
  <c r="A212" i="8"/>
  <c r="I211" i="8"/>
  <c r="A211" i="8"/>
  <c r="I210" i="8"/>
  <c r="A210" i="8"/>
  <c r="I209" i="8"/>
  <c r="A209" i="8"/>
  <c r="I208" i="8"/>
  <c r="A208" i="8"/>
  <c r="I207" i="8"/>
  <c r="A207" i="8"/>
  <c r="I206" i="8"/>
  <c r="A206" i="8"/>
  <c r="I205" i="8"/>
  <c r="A205" i="8"/>
  <c r="I204" i="8"/>
  <c r="A204" i="8"/>
  <c r="I203" i="8"/>
  <c r="A203" i="8"/>
  <c r="I202" i="8"/>
  <c r="A202" i="8"/>
  <c r="I201" i="8"/>
  <c r="A201" i="8"/>
  <c r="I200" i="8"/>
  <c r="A200" i="8"/>
  <c r="I199" i="8"/>
  <c r="A199" i="8"/>
  <c r="I198" i="8"/>
  <c r="A198" i="8"/>
  <c r="I197" i="8"/>
  <c r="A197" i="8"/>
  <c r="I196" i="8"/>
  <c r="A196" i="8"/>
  <c r="I195" i="8"/>
  <c r="A195" i="8"/>
  <c r="I194" i="8"/>
  <c r="A194" i="8"/>
  <c r="I193" i="8"/>
  <c r="A193" i="8"/>
  <c r="I192" i="8"/>
  <c r="A192" i="8"/>
  <c r="I191" i="8"/>
  <c r="A191" i="8"/>
  <c r="I190" i="8"/>
  <c r="A190" i="8"/>
  <c r="I189" i="8"/>
  <c r="A189" i="8"/>
  <c r="I188" i="8"/>
  <c r="A188" i="8"/>
  <c r="I187" i="8"/>
  <c r="A187" i="8"/>
  <c r="I186" i="8"/>
  <c r="A186" i="8"/>
  <c r="I185" i="8"/>
  <c r="A185" i="8"/>
  <c r="I184" i="8"/>
  <c r="A184" i="8"/>
  <c r="I183" i="8"/>
  <c r="A183" i="8"/>
  <c r="I182" i="8"/>
  <c r="A182" i="8"/>
  <c r="I181" i="8"/>
  <c r="A181" i="8"/>
  <c r="I180" i="8"/>
  <c r="A180" i="8"/>
  <c r="I179" i="8"/>
  <c r="A179" i="8"/>
  <c r="I178" i="8"/>
  <c r="A178" i="8"/>
  <c r="I177" i="8"/>
  <c r="A177" i="8"/>
  <c r="I176" i="8"/>
  <c r="A176" i="8"/>
  <c r="I175" i="8"/>
  <c r="A175" i="8"/>
  <c r="I174" i="8"/>
  <c r="A174" i="8"/>
  <c r="I173" i="8"/>
  <c r="A173" i="8"/>
  <c r="I172" i="8"/>
  <c r="A172" i="8"/>
  <c r="I171" i="8"/>
  <c r="A171" i="8"/>
  <c r="I170" i="8"/>
  <c r="A170" i="8"/>
  <c r="I169" i="8"/>
  <c r="A169" i="8"/>
  <c r="I168" i="8"/>
  <c r="A168" i="8"/>
  <c r="I167" i="8"/>
  <c r="A167" i="8"/>
  <c r="I166" i="8"/>
  <c r="A166" i="8"/>
  <c r="I165" i="8"/>
  <c r="A165" i="8"/>
  <c r="I164" i="8"/>
  <c r="A164" i="8"/>
  <c r="I163" i="8"/>
  <c r="A163" i="8"/>
  <c r="I162" i="8"/>
  <c r="A162" i="8"/>
  <c r="I161" i="8"/>
  <c r="A161" i="8"/>
  <c r="I160" i="8"/>
  <c r="A160" i="8"/>
  <c r="I159" i="8"/>
  <c r="A159" i="8"/>
  <c r="I158" i="8"/>
  <c r="A158" i="8"/>
  <c r="I157" i="8"/>
  <c r="A157" i="8"/>
  <c r="I156" i="8"/>
  <c r="A156" i="8"/>
  <c r="I155" i="8"/>
  <c r="A155" i="8"/>
  <c r="I154" i="8"/>
  <c r="A154" i="8"/>
  <c r="I153" i="8"/>
  <c r="A153" i="8"/>
  <c r="I152" i="8"/>
  <c r="A152" i="8"/>
  <c r="I151" i="8"/>
  <c r="A151" i="8"/>
  <c r="I150" i="8"/>
  <c r="A150" i="8"/>
  <c r="I149" i="8"/>
  <c r="A149" i="8"/>
  <c r="I148" i="8"/>
  <c r="A148" i="8"/>
  <c r="I147" i="8"/>
  <c r="A147" i="8"/>
  <c r="I146" i="8"/>
  <c r="A146" i="8"/>
  <c r="I145" i="8"/>
  <c r="A145" i="8"/>
  <c r="I144" i="8"/>
  <c r="A144" i="8"/>
  <c r="I143" i="8"/>
  <c r="A143" i="8"/>
  <c r="I142" i="8"/>
  <c r="A142" i="8"/>
  <c r="I141" i="8"/>
  <c r="A141" i="8"/>
  <c r="I140" i="8"/>
  <c r="A140" i="8"/>
  <c r="I139" i="8"/>
  <c r="A139" i="8"/>
  <c r="I138" i="8"/>
  <c r="A138" i="8"/>
  <c r="I137" i="8"/>
  <c r="A137" i="8"/>
  <c r="I136" i="8"/>
  <c r="A136" i="8"/>
  <c r="I135" i="8"/>
  <c r="A135" i="8"/>
  <c r="I134" i="8"/>
  <c r="A134" i="8"/>
  <c r="I133" i="8"/>
  <c r="A133" i="8"/>
  <c r="I132" i="8"/>
  <c r="A132" i="8"/>
  <c r="I131" i="8"/>
  <c r="A131" i="8"/>
  <c r="I130" i="8"/>
  <c r="A130" i="8"/>
  <c r="I129" i="8"/>
  <c r="A129" i="8"/>
  <c r="I128" i="8"/>
  <c r="A128" i="8"/>
  <c r="I127" i="8"/>
  <c r="A127" i="8"/>
  <c r="I126" i="8"/>
  <c r="A126" i="8"/>
  <c r="I125" i="8"/>
  <c r="A125" i="8"/>
  <c r="I124" i="8"/>
  <c r="A124" i="8"/>
  <c r="I123" i="8"/>
  <c r="A123" i="8"/>
  <c r="I122" i="8"/>
  <c r="A122" i="8"/>
  <c r="I121" i="8"/>
  <c r="A121" i="8"/>
  <c r="I120" i="8"/>
  <c r="A120" i="8"/>
  <c r="I119" i="8"/>
  <c r="A119" i="8"/>
  <c r="I118" i="8"/>
  <c r="A118" i="8"/>
  <c r="I117" i="8"/>
  <c r="A117" i="8"/>
  <c r="I116" i="8"/>
  <c r="A116" i="8"/>
  <c r="I115" i="8"/>
  <c r="A115" i="8"/>
  <c r="I114" i="8"/>
  <c r="A114" i="8"/>
  <c r="I113" i="8"/>
  <c r="A113" i="8"/>
  <c r="I112" i="8"/>
  <c r="A112" i="8"/>
  <c r="I111" i="8"/>
  <c r="A111" i="8"/>
  <c r="I110" i="8"/>
  <c r="A110" i="8"/>
  <c r="I109" i="8"/>
  <c r="A109" i="8"/>
  <c r="I108" i="8"/>
  <c r="A108" i="8"/>
  <c r="I107" i="8"/>
  <c r="A107" i="8"/>
  <c r="I106" i="8"/>
  <c r="A106" i="8"/>
  <c r="I105" i="8"/>
  <c r="A105" i="8"/>
  <c r="I104" i="8"/>
  <c r="A104" i="8"/>
  <c r="I103" i="8"/>
  <c r="A103" i="8"/>
  <c r="I102" i="8"/>
  <c r="A102" i="8"/>
  <c r="I101" i="8"/>
  <c r="A101" i="8"/>
  <c r="I100" i="8"/>
  <c r="A100" i="8"/>
  <c r="I99" i="8"/>
  <c r="A99" i="8"/>
  <c r="I98" i="8"/>
  <c r="A98" i="8"/>
  <c r="I97" i="8"/>
  <c r="A97" i="8"/>
  <c r="I96" i="8"/>
  <c r="A96" i="8"/>
  <c r="I95" i="8"/>
  <c r="A95" i="8"/>
  <c r="I94" i="8"/>
  <c r="A94" i="8"/>
  <c r="I93" i="8"/>
  <c r="A93" i="8"/>
  <c r="I92" i="8"/>
  <c r="A92" i="8"/>
  <c r="I91" i="8"/>
  <c r="A91" i="8"/>
  <c r="I90" i="8"/>
  <c r="A90" i="8"/>
  <c r="I89" i="8"/>
  <c r="A89" i="8"/>
  <c r="I88" i="8"/>
  <c r="A88" i="8"/>
  <c r="I87" i="8"/>
  <c r="A87" i="8"/>
  <c r="I86" i="8"/>
  <c r="A86" i="8"/>
  <c r="I85" i="8"/>
  <c r="A85" i="8"/>
  <c r="I84" i="8"/>
  <c r="A84" i="8"/>
  <c r="I83" i="8"/>
  <c r="A83" i="8"/>
  <c r="I82" i="8"/>
  <c r="A82" i="8"/>
  <c r="I81" i="8"/>
  <c r="A81" i="8"/>
  <c r="I80" i="8"/>
  <c r="A80" i="8"/>
  <c r="I79" i="8"/>
  <c r="A79" i="8"/>
  <c r="I78" i="8"/>
  <c r="A78" i="8"/>
  <c r="I77" i="8"/>
  <c r="A77" i="8"/>
  <c r="I76" i="8"/>
  <c r="A76" i="8"/>
  <c r="I75" i="8"/>
  <c r="A75" i="8"/>
  <c r="I74" i="8"/>
  <c r="A74" i="8"/>
  <c r="I73" i="8"/>
  <c r="A73" i="8"/>
  <c r="I72" i="8"/>
  <c r="A72" i="8"/>
  <c r="I71" i="8"/>
  <c r="A71" i="8"/>
  <c r="I70" i="8"/>
  <c r="A70" i="8"/>
  <c r="I69" i="8"/>
  <c r="A69" i="8"/>
  <c r="I68" i="8"/>
  <c r="A68" i="8"/>
  <c r="I67" i="8"/>
  <c r="A67" i="8"/>
  <c r="I66" i="8"/>
  <c r="A66" i="8"/>
  <c r="I65" i="8"/>
  <c r="A65" i="8"/>
  <c r="I64" i="8"/>
  <c r="A64" i="8"/>
  <c r="I63" i="8"/>
  <c r="A63" i="8"/>
  <c r="I62" i="8"/>
  <c r="A62" i="8"/>
  <c r="I61" i="8"/>
  <c r="A61" i="8"/>
  <c r="I60" i="8"/>
  <c r="A60" i="8"/>
  <c r="I59" i="8"/>
  <c r="A59" i="8"/>
  <c r="I58" i="8"/>
  <c r="A58" i="8"/>
  <c r="I57" i="8"/>
  <c r="A57" i="8"/>
  <c r="I56" i="8"/>
  <c r="A56" i="8"/>
  <c r="I55" i="8"/>
  <c r="A55" i="8"/>
  <c r="I54" i="8"/>
  <c r="A54" i="8"/>
  <c r="I53" i="8"/>
  <c r="F53" i="8"/>
  <c r="A53" i="8"/>
  <c r="I52" i="8"/>
  <c r="F52" i="8"/>
  <c r="A52" i="8"/>
  <c r="F51" i="8"/>
  <c r="I51" i="8" s="1"/>
  <c r="A51" i="8"/>
  <c r="F50" i="8"/>
  <c r="I50" i="8" s="1"/>
  <c r="A50" i="8"/>
  <c r="I49" i="8"/>
  <c r="F49" i="8"/>
  <c r="A49" i="8"/>
  <c r="I48" i="8"/>
  <c r="F48" i="8"/>
  <c r="A48" i="8"/>
  <c r="F47" i="8"/>
  <c r="I47" i="8" s="1"/>
  <c r="A47" i="8"/>
  <c r="F46" i="8"/>
  <c r="I46" i="8" s="1"/>
  <c r="A46" i="8"/>
  <c r="I45" i="8"/>
  <c r="F45" i="8"/>
  <c r="A45" i="8"/>
  <c r="I44" i="8"/>
  <c r="F44" i="8"/>
  <c r="A44" i="8"/>
  <c r="F43" i="8"/>
  <c r="I43" i="8" s="1"/>
  <c r="A43" i="8"/>
  <c r="F42" i="8"/>
  <c r="I42" i="8" s="1"/>
  <c r="A42" i="8"/>
  <c r="I41" i="8"/>
  <c r="F41" i="8"/>
  <c r="A41" i="8"/>
  <c r="I40" i="8"/>
  <c r="F40" i="8"/>
  <c r="A40" i="8"/>
  <c r="F39" i="8"/>
  <c r="I39" i="8" s="1"/>
  <c r="A39" i="8"/>
  <c r="F38" i="8"/>
  <c r="I38" i="8" s="1"/>
  <c r="A38" i="8"/>
  <c r="I37" i="8"/>
  <c r="F37" i="8"/>
  <c r="A37" i="8"/>
  <c r="I36" i="8"/>
  <c r="F36" i="8"/>
  <c r="A36" i="8"/>
  <c r="F35" i="8"/>
  <c r="I35" i="8" s="1"/>
  <c r="A35" i="8"/>
  <c r="F34" i="8"/>
  <c r="I34" i="8" s="1"/>
  <c r="A34" i="8"/>
  <c r="I33" i="8"/>
  <c r="F33" i="8"/>
  <c r="A33" i="8"/>
  <c r="I32" i="8"/>
  <c r="F32" i="8"/>
  <c r="A32" i="8"/>
  <c r="F31" i="8"/>
  <c r="I31" i="8" s="1"/>
  <c r="A31" i="8"/>
  <c r="F30" i="8"/>
  <c r="I30" i="8" s="1"/>
  <c r="A30" i="8"/>
  <c r="I29" i="8"/>
  <c r="F29" i="8"/>
  <c r="A29" i="8"/>
  <c r="I28" i="8"/>
  <c r="F28" i="8"/>
  <c r="A28" i="8"/>
  <c r="F27" i="8"/>
  <c r="I27" i="8" s="1"/>
  <c r="A27" i="8"/>
  <c r="F26" i="8"/>
  <c r="I26" i="8" s="1"/>
  <c r="A26" i="8"/>
  <c r="I25" i="8"/>
  <c r="A25" i="8"/>
  <c r="F24" i="8"/>
  <c r="I24" i="8" s="1"/>
  <c r="A24" i="8"/>
  <c r="F23" i="8"/>
  <c r="I23" i="8" s="1"/>
  <c r="A23" i="8"/>
  <c r="I22" i="8"/>
  <c r="F22" i="8"/>
  <c r="A22" i="8"/>
  <c r="I21" i="8"/>
  <c r="F21" i="8"/>
  <c r="A21" i="8"/>
  <c r="F20" i="8"/>
  <c r="I20" i="8" s="1"/>
  <c r="A20" i="8"/>
  <c r="F19" i="8"/>
  <c r="I19" i="8" s="1"/>
  <c r="A19" i="8"/>
  <c r="I18" i="8"/>
  <c r="F18" i="8"/>
  <c r="A18" i="8"/>
  <c r="I17" i="8"/>
  <c r="F17" i="8"/>
  <c r="A17" i="8"/>
  <c r="F16" i="8"/>
  <c r="I16" i="8" s="1"/>
  <c r="A16" i="8"/>
  <c r="F15" i="8"/>
  <c r="I15" i="8" s="1"/>
  <c r="A15" i="8"/>
  <c r="I14" i="8"/>
  <c r="F14" i="8"/>
  <c r="A14" i="8"/>
  <c r="I13" i="8"/>
  <c r="F13" i="8"/>
  <c r="A13" i="8"/>
  <c r="F12" i="8"/>
  <c r="I12" i="8" s="1"/>
  <c r="A12" i="8"/>
  <c r="F11" i="8"/>
  <c r="I11" i="8" s="1"/>
  <c r="A11" i="8"/>
  <c r="I10" i="8"/>
  <c r="F10" i="8"/>
  <c r="A10" i="8"/>
  <c r="I9" i="8"/>
  <c r="F9" i="8"/>
  <c r="A9" i="8"/>
  <c r="I8" i="8"/>
  <c r="A8" i="8"/>
  <c r="I7" i="8"/>
  <c r="A7" i="8"/>
  <c r="I6" i="8"/>
  <c r="A6" i="8"/>
  <c r="I5" i="8"/>
  <c r="A5" i="8"/>
  <c r="I4" i="8"/>
  <c r="A4" i="8"/>
  <c r="I3" i="8"/>
  <c r="A3" i="8"/>
  <c r="I2" i="8"/>
  <c r="A2" i="8"/>
  <c r="H223" i="5" l="1"/>
  <c r="H222" i="5"/>
  <c r="H221" i="5"/>
  <c r="H219" i="5"/>
  <c r="H218" i="5"/>
  <c r="H217" i="5"/>
  <c r="H216" i="5"/>
  <c r="H215" i="5"/>
  <c r="H212" i="5"/>
  <c r="H211" i="5"/>
  <c r="H210" i="5"/>
  <c r="H208" i="5"/>
  <c r="H207" i="5"/>
  <c r="H206" i="5"/>
  <c r="H205" i="5"/>
  <c r="H203" i="5"/>
  <c r="H202" i="5"/>
  <c r="H201" i="5"/>
  <c r="H198" i="5"/>
  <c r="H197" i="5"/>
  <c r="H196" i="5"/>
  <c r="H195" i="5"/>
  <c r="H194" i="5"/>
  <c r="H193" i="5"/>
  <c r="H192" i="5"/>
  <c r="H191" i="5"/>
  <c r="H190" i="5"/>
  <c r="H189" i="5"/>
  <c r="H188" i="5"/>
  <c r="H184" i="5"/>
  <c r="H181" i="5"/>
  <c r="H180" i="5"/>
  <c r="H178" i="5"/>
  <c r="H175" i="5"/>
  <c r="H174" i="5"/>
  <c r="H173" i="5"/>
  <c r="H169" i="5"/>
  <c r="H168" i="5"/>
  <c r="H167" i="5"/>
  <c r="H166" i="5"/>
  <c r="H165" i="5"/>
  <c r="H164" i="5"/>
  <c r="H163" i="5"/>
  <c r="H162" i="5"/>
  <c r="H161" i="5"/>
  <c r="H160" i="5"/>
  <c r="H159" i="5"/>
  <c r="H157" i="5"/>
  <c r="H156" i="5"/>
  <c r="H155" i="5"/>
  <c r="H151" i="5"/>
  <c r="H149" i="5"/>
  <c r="H148" i="5"/>
  <c r="H147" i="5"/>
  <c r="H146" i="5"/>
  <c r="H145" i="5"/>
  <c r="H142" i="5"/>
  <c r="H141" i="5"/>
  <c r="H82" i="5"/>
  <c r="H81" i="5"/>
  <c r="H80" i="5"/>
  <c r="H79" i="5"/>
  <c r="H78" i="5"/>
  <c r="H77" i="5"/>
  <c r="H76" i="5"/>
  <c r="H75" i="5"/>
  <c r="H74" i="5"/>
  <c r="H73" i="5"/>
  <c r="H70" i="5"/>
  <c r="H69" i="5"/>
  <c r="H68" i="5"/>
  <c r="H67" i="5"/>
  <c r="H66" i="5"/>
  <c r="H65" i="5"/>
  <c r="H64" i="5"/>
  <c r="H63" i="5"/>
  <c r="H62" i="5"/>
  <c r="H61" i="5"/>
  <c r="G60" i="5"/>
  <c r="H60" i="5" s="1"/>
  <c r="H59" i="5"/>
  <c r="H56" i="5"/>
  <c r="H52" i="5"/>
  <c r="H51" i="5"/>
  <c r="H50" i="5"/>
  <c r="H49" i="5"/>
  <c r="H48" i="5"/>
  <c r="H47" i="5"/>
  <c r="H46" i="5"/>
  <c r="H45" i="5"/>
  <c r="H44" i="5"/>
  <c r="H43" i="5"/>
  <c r="H42" i="5"/>
  <c r="H41" i="5"/>
  <c r="H40" i="5"/>
  <c r="H39" i="5"/>
  <c r="H38" i="5"/>
  <c r="H37" i="5"/>
  <c r="H36" i="5"/>
  <c r="H35" i="5"/>
  <c r="H32" i="5"/>
  <c r="H31" i="5"/>
  <c r="H30" i="5"/>
  <c r="H29" i="5"/>
  <c r="H26" i="5"/>
  <c r="H25" i="5"/>
  <c r="H24" i="5"/>
  <c r="H22" i="5"/>
  <c r="H21" i="5"/>
  <c r="H20" i="5"/>
  <c r="H19" i="5"/>
  <c r="H18" i="5"/>
  <c r="H17" i="5"/>
  <c r="H16" i="5"/>
  <c r="H15" i="5"/>
  <c r="H14" i="5"/>
  <c r="H13" i="5"/>
  <c r="H12" i="5"/>
  <c r="H11" i="5"/>
  <c r="H10" i="5"/>
  <c r="H9" i="5"/>
  <c r="H8" i="5"/>
  <c r="H7" i="5"/>
  <c r="H6" i="5"/>
  <c r="H5" i="5"/>
  <c r="H4" i="5"/>
  <c r="H3" i="5"/>
  <c r="H2" i="5"/>
  <c r="I59" i="3" l="1"/>
  <c r="I58" i="3"/>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I26" i="3"/>
  <c r="I25" i="3"/>
  <c r="I24" i="3"/>
  <c r="I17" i="3"/>
  <c r="I16" i="3"/>
  <c r="I15" i="3"/>
  <c r="H14" i="3"/>
  <c r="I14" i="3" s="1"/>
  <c r="I11" i="3"/>
  <c r="I10" i="3"/>
  <c r="I9" i="3"/>
  <c r="I8" i="3"/>
  <c r="I7" i="3"/>
  <c r="I6" i="3"/>
  <c r="I4" i="3"/>
  <c r="I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Compras 03</author>
  </authors>
  <commentList>
    <comment ref="N8" authorId="0" shapeId="0" xr:uid="{A348B48F-EE51-4031-8FF5-44A2E205A2B8}">
      <text>
        <r>
          <rPr>
            <b/>
            <sz val="9"/>
            <color indexed="81"/>
            <rFont val="Segoe UI"/>
            <family val="2"/>
          </rPr>
          <t>Compras 03:</t>
        </r>
        <r>
          <rPr>
            <sz val="9"/>
            <color indexed="81"/>
            <rFont val="Segoe UI"/>
            <family val="2"/>
          </rPr>
          <t xml:space="preserve">
PROC 663/2022 NÃO TEM COTA PARA SMEL</t>
        </r>
      </text>
    </comment>
    <comment ref="J13" authorId="0" shapeId="0" xr:uid="{F7EC39E6-98FF-4A69-B3FB-01A92603D45B}">
      <text>
        <r>
          <rPr>
            <b/>
            <sz val="9"/>
            <color indexed="81"/>
            <rFont val="Segoe UI"/>
            <family val="2"/>
          </rPr>
          <t>Compras 03:</t>
        </r>
        <r>
          <rPr>
            <sz val="9"/>
            <color indexed="81"/>
            <rFont val="Segoe UI"/>
            <family val="2"/>
          </rPr>
          <t xml:space="preserve">
FUNDEB</t>
        </r>
      </text>
    </comment>
    <comment ref="B25" authorId="0" shapeId="0" xr:uid="{7C16CB12-22FE-493D-8975-780B89A1FEA6}">
      <text>
        <r>
          <rPr>
            <b/>
            <sz val="9"/>
            <color indexed="81"/>
            <rFont val="Segoe UI"/>
            <family val="2"/>
          </rPr>
          <t>Compras 03:</t>
        </r>
        <r>
          <rPr>
            <sz val="9"/>
            <color indexed="81"/>
            <rFont val="Segoe UI"/>
            <family val="2"/>
          </rPr>
          <t xml:space="preserve">
Não está inlcuido no processo atual de carpina</t>
        </r>
      </text>
    </comment>
    <comment ref="B57" authorId="0" shapeId="0" xr:uid="{8BBFF837-277D-45FE-8EB4-19E103D90E97}">
      <text>
        <r>
          <rPr>
            <b/>
            <sz val="9"/>
            <color indexed="81"/>
            <rFont val="Segoe UI"/>
            <family val="2"/>
          </rPr>
          <t>Compras 03:</t>
        </r>
        <r>
          <rPr>
            <sz val="9"/>
            <color indexed="81"/>
            <rFont val="Segoe UI"/>
            <family val="2"/>
          </rPr>
          <t xml:space="preserve">
PROCESSO DE COMPRA AINDA SERÁ REALIZADO, NÃO TEMOS VALORES</t>
        </r>
      </text>
    </comment>
    <comment ref="J245" authorId="0" shapeId="0" xr:uid="{11FBB54A-5155-4370-9E4A-A11BBEC8BB44}">
      <text>
        <r>
          <rPr>
            <b/>
            <sz val="9"/>
            <color indexed="81"/>
            <rFont val="Segoe UI"/>
            <family val="2"/>
          </rPr>
          <t>Compras 03:</t>
        </r>
        <r>
          <rPr>
            <sz val="9"/>
            <color indexed="81"/>
            <rFont val="Segoe UI"/>
            <family val="2"/>
          </rPr>
          <t xml:space="preserve">
ficha contábil: TESOURO - 446 - 3.3.90.32.00</t>
        </r>
      </text>
    </comment>
    <comment ref="J367" authorId="0" shapeId="0" xr:uid="{E5ABB675-6A5D-4244-A41D-DC9F5BCB5847}">
      <text>
        <r>
          <rPr>
            <b/>
            <sz val="9"/>
            <color indexed="81"/>
            <rFont val="Segoe UI"/>
            <family val="2"/>
          </rPr>
          <t>Compras 03:</t>
        </r>
        <r>
          <rPr>
            <sz val="9"/>
            <color indexed="81"/>
            <rFont val="Segoe UI"/>
            <family val="2"/>
          </rPr>
          <t xml:space="preserve">
SC1600/2020
SC1606/2021</t>
        </r>
      </text>
    </comment>
    <comment ref="B383" authorId="0" shapeId="0" xr:uid="{65B52B6A-E449-4EAE-B278-605B30765529}">
      <text>
        <r>
          <rPr>
            <b/>
            <sz val="9"/>
            <color indexed="81"/>
            <rFont val="Segoe UI"/>
            <family val="2"/>
          </rPr>
          <t>Compras 03:</t>
        </r>
        <r>
          <rPr>
            <sz val="9"/>
            <color indexed="81"/>
            <rFont val="Segoe UI"/>
            <family val="2"/>
          </rPr>
          <t xml:space="preserve">
SC 69/2023 (AD)</t>
        </r>
      </text>
    </comment>
    <comment ref="N434" authorId="0" shapeId="0" xr:uid="{E1ABE25B-723D-4BF0-89F7-EBCCF73A9A9E}">
      <text>
        <r>
          <rPr>
            <b/>
            <sz val="9"/>
            <color indexed="81"/>
            <rFont val="Segoe UI"/>
            <family val="2"/>
          </rPr>
          <t>Compras 03:</t>
        </r>
        <r>
          <rPr>
            <sz val="9"/>
            <color indexed="81"/>
            <rFont val="Segoe UI"/>
            <family val="2"/>
          </rPr>
          <t xml:space="preserve">
Novo proc 326/2023</t>
        </r>
      </text>
    </comment>
    <comment ref="B866" authorId="0" shapeId="0" xr:uid="{4F5687D3-1561-4CA0-B6ED-D2447FEB0A24}">
      <text>
        <r>
          <rPr>
            <b/>
            <sz val="9"/>
            <color indexed="81"/>
            <rFont val="Segoe UI"/>
            <family val="2"/>
          </rPr>
          <t>Compras 03:</t>
        </r>
        <r>
          <rPr>
            <sz val="9"/>
            <color indexed="81"/>
            <rFont val="Segoe UI"/>
            <family val="2"/>
          </rPr>
          <t xml:space="preserve">
Ainda não há processo para este elevador</t>
        </r>
      </text>
    </comment>
    <comment ref="J868" authorId="0" shapeId="0" xr:uid="{6389DF9A-D717-4EEF-BC5E-6AC9CE33E8E4}">
      <text>
        <r>
          <rPr>
            <b/>
            <sz val="9"/>
            <color indexed="81"/>
            <rFont val="Segoe UI"/>
            <family val="2"/>
          </rPr>
          <t>Compras 03:</t>
        </r>
        <r>
          <rPr>
            <sz val="9"/>
            <color indexed="81"/>
            <rFont val="Segoe UI"/>
            <family val="2"/>
          </rPr>
          <t xml:space="preserve">
FUNDEB</t>
        </r>
      </text>
    </comment>
    <comment ref="B1196" authorId="0" shapeId="0" xr:uid="{9A7322FF-9B9F-4E66-979E-7819EFFE36A7}">
      <text>
        <r>
          <rPr>
            <b/>
            <sz val="9"/>
            <color indexed="81"/>
            <rFont val="Segoe UI"/>
            <family val="2"/>
          </rPr>
          <t>Compras 03:</t>
        </r>
        <r>
          <rPr>
            <sz val="9"/>
            <color indexed="81"/>
            <rFont val="Segoe UI"/>
            <family val="2"/>
          </rPr>
          <t xml:space="preserve">
SC867/2023 (AD) - SC3546/2022 (AD)</t>
        </r>
      </text>
    </comment>
    <comment ref="J1199" authorId="0" shapeId="0" xr:uid="{75F91BFB-D4F8-4820-B120-2094AF172AA3}">
      <text>
        <r>
          <rPr>
            <b/>
            <sz val="9"/>
            <color indexed="81"/>
            <rFont val="Segoe UI"/>
            <family val="2"/>
          </rPr>
          <t>Compras 03:</t>
        </r>
        <r>
          <rPr>
            <sz val="9"/>
            <color indexed="81"/>
            <rFont val="Segoe UI"/>
            <family val="2"/>
          </rPr>
          <t xml:space="preserve">
FUNDEB</t>
        </r>
      </text>
    </comment>
    <comment ref="F1205" authorId="0" shapeId="0" xr:uid="{8C472B9F-A918-4771-BC7D-E8DE3EE37A4C}">
      <text>
        <r>
          <rPr>
            <b/>
            <sz val="9"/>
            <color indexed="81"/>
            <rFont val="Segoe UI"/>
            <family val="2"/>
          </rPr>
          <t>Compras 03:</t>
        </r>
        <r>
          <rPr>
            <sz val="9"/>
            <color indexed="81"/>
            <rFont val="Segoe UI"/>
            <family val="2"/>
          </rPr>
          <t xml:space="preserve">
Processo sendo realizado pela administração</t>
        </r>
      </text>
    </comment>
    <comment ref="B1212" authorId="0" shapeId="0" xr:uid="{79457D2D-5C64-4CC1-AE92-B1DFB187AB97}">
      <text>
        <r>
          <rPr>
            <b/>
            <sz val="9"/>
            <color indexed="81"/>
            <rFont val="Segoe UI"/>
            <family val="2"/>
          </rPr>
          <t>Compras 03:</t>
        </r>
        <r>
          <rPr>
            <sz val="9"/>
            <color indexed="81"/>
            <rFont val="Segoe UI"/>
            <family val="2"/>
          </rPr>
          <t xml:space="preserve">
</t>
        </r>
        <r>
          <rPr>
            <sz val="8"/>
            <color indexed="81"/>
            <rFont val="Arial"/>
            <family val="2"/>
          </rPr>
          <t>LINHAS ANALÓGICAS
100 unid - Linhas Analógicas
60.000 min – Minuto Fixo Fixo Local
1.000 min – Minuto Fixo Fixo Intra Regional
500 min – Minuto Fixo Fixo Inter Regional
10.000 min – Minuto Fixo Móvel VC1 (Local)
500 min – Minuto Fixo Móvel VC2 (Regional)
500 min – Minuto Fixo Móvel VC3 (Nacional)
SERVIÇOS DE VOZ DIGITAL
5 unid – Tronco Digital SIP 10 Canais
2 unid – Tronco Digital SIP 30 Canais
350 unid – Ramais Analógicos
30.000 min – Minuto Fixo Fixo Local
1.000 min – Minuto Fixo Fixo Intra Regional
50 min – Minuto Fixo Fixo Inter Regional
3.600 min – Minuto Fixo Móvel VC1 (Local)
350 min – Minuto Fixo Móvel VC2 (Regional)
50 min – Minuto Fixo Móvel VC3 (Nacional)
LOCAÇÃO DE PABX
5 unid – Locação de PABX Tipo 1
2 unid – Locação de PABX Tipo 2</t>
        </r>
      </text>
    </comment>
    <comment ref="N1212" authorId="0" shapeId="0" xr:uid="{34B035E2-9E19-4AE8-A3EF-3C33F3C2128D}">
      <text>
        <r>
          <rPr>
            <b/>
            <sz val="9"/>
            <color indexed="81"/>
            <rFont val="Segoe UI"/>
            <family val="2"/>
          </rPr>
          <t>Compras 03:</t>
        </r>
        <r>
          <rPr>
            <sz val="9"/>
            <color indexed="81"/>
            <rFont val="Segoe UI"/>
            <family val="2"/>
          </rPr>
          <t xml:space="preserve">
SC541/2022</t>
        </r>
      </text>
    </comment>
    <comment ref="J1216" authorId="0" shapeId="0" xr:uid="{7A9EE9FE-866B-41C1-BDC1-F19FC73BE982}">
      <text>
        <r>
          <rPr>
            <b/>
            <sz val="9"/>
            <color indexed="81"/>
            <rFont val="Segoe UI"/>
            <family val="2"/>
          </rPr>
          <t>Compras 03:</t>
        </r>
        <r>
          <rPr>
            <sz val="9"/>
            <color indexed="81"/>
            <rFont val="Segoe UI"/>
            <family val="2"/>
          </rPr>
          <t xml:space="preserve">
Centro de consumo: geral
SC83/2023</t>
        </r>
      </text>
    </comment>
    <comment ref="B1217" authorId="0" shapeId="0" xr:uid="{6DC51E0F-4E01-4590-B043-CBBC273179C2}">
      <text>
        <r>
          <rPr>
            <b/>
            <sz val="9"/>
            <color indexed="81"/>
            <rFont val="Segoe UI"/>
            <family val="2"/>
          </rPr>
          <t>Compras 03:</t>
        </r>
        <r>
          <rPr>
            <sz val="9"/>
            <color indexed="81"/>
            <rFont val="Segoe UI"/>
            <family val="2"/>
          </rPr>
          <t xml:space="preserve">
Veículo está em processo de compra para ser adquirido</t>
        </r>
      </text>
    </comment>
    <comment ref="B1218" authorId="0" shapeId="0" xr:uid="{29AFAD4C-2B5E-49AF-BEC5-D5A217B015CC}">
      <text>
        <r>
          <rPr>
            <b/>
            <sz val="9"/>
            <color indexed="81"/>
            <rFont val="Segoe UI"/>
            <family val="2"/>
          </rPr>
          <t>Compras 03:</t>
        </r>
        <r>
          <rPr>
            <sz val="9"/>
            <color indexed="81"/>
            <rFont val="Segoe UI"/>
            <family val="2"/>
          </rPr>
          <t xml:space="preserve">
Veículo está em processo de compra para ser adquirido</t>
        </r>
      </text>
    </comment>
    <comment ref="B1219" authorId="0" shapeId="0" xr:uid="{804F24A7-7B26-45FC-AD03-3EDEADDA8289}">
      <text>
        <r>
          <rPr>
            <b/>
            <sz val="9"/>
            <color indexed="81"/>
            <rFont val="Segoe UI"/>
            <family val="2"/>
          </rPr>
          <t>Compras 03:</t>
        </r>
        <r>
          <rPr>
            <sz val="9"/>
            <color indexed="81"/>
            <rFont val="Segoe UI"/>
            <family val="2"/>
          </rPr>
          <t xml:space="preserve">
Veículo está em processo de compra para ser adquirido</t>
        </r>
      </text>
    </comment>
    <comment ref="B1220" authorId="0" shapeId="0" xr:uid="{192018CB-2F07-4C8A-9A49-94892E59A56B}">
      <text>
        <r>
          <rPr>
            <b/>
            <sz val="9"/>
            <color indexed="81"/>
            <rFont val="Segoe UI"/>
            <family val="2"/>
          </rPr>
          <t>Compras 03:</t>
        </r>
        <r>
          <rPr>
            <sz val="9"/>
            <color indexed="81"/>
            <rFont val="Segoe UI"/>
            <family val="2"/>
          </rPr>
          <t xml:space="preserve">
Veículo está em processo de compra para ser adquirido</t>
        </r>
      </text>
    </comment>
    <comment ref="B1221" authorId="0" shapeId="0" xr:uid="{0D324CD8-E5FB-4864-A35B-42E5F4F4069D}">
      <text>
        <r>
          <rPr>
            <b/>
            <sz val="9"/>
            <color indexed="81"/>
            <rFont val="Segoe UI"/>
            <family val="2"/>
          </rPr>
          <t>Compras 03:</t>
        </r>
        <r>
          <rPr>
            <sz val="9"/>
            <color indexed="81"/>
            <rFont val="Segoe UI"/>
            <family val="2"/>
          </rPr>
          <t xml:space="preserve">
Veículo está em processo de compra para ser adquirido</t>
        </r>
      </text>
    </comment>
    <comment ref="B1222" authorId="0" shapeId="0" xr:uid="{B452622F-5E01-426C-B8CC-A19496D6632D}">
      <text>
        <r>
          <rPr>
            <b/>
            <sz val="9"/>
            <color indexed="81"/>
            <rFont val="Segoe UI"/>
            <family val="2"/>
          </rPr>
          <t>Compras 03:</t>
        </r>
        <r>
          <rPr>
            <sz val="9"/>
            <color indexed="81"/>
            <rFont val="Segoe UI"/>
            <family val="2"/>
          </rPr>
          <t xml:space="preserve">
Veículo está em processo de compra para ser adquirido</t>
        </r>
      </text>
    </comment>
    <comment ref="B1223" authorId="0" shapeId="0" xr:uid="{78EF32EF-9730-4C08-92DB-6FE6B921530B}">
      <text>
        <r>
          <rPr>
            <b/>
            <sz val="9"/>
            <color indexed="81"/>
            <rFont val="Segoe UI"/>
            <family val="2"/>
          </rPr>
          <t>Compras 03:</t>
        </r>
        <r>
          <rPr>
            <sz val="9"/>
            <color indexed="81"/>
            <rFont val="Segoe UI"/>
            <family val="2"/>
          </rPr>
          <t xml:space="preserve">
Veículo está em processo de compra para ser adquirido</t>
        </r>
      </text>
    </comment>
    <comment ref="B1234" authorId="0" shapeId="0" xr:uid="{4D9E6871-76FB-4D0C-83A0-97109F0780E2}">
      <text>
        <r>
          <rPr>
            <b/>
            <sz val="9"/>
            <color indexed="81"/>
            <rFont val="Segoe UI"/>
            <family val="2"/>
          </rPr>
          <t>Compras 03:</t>
        </r>
        <r>
          <rPr>
            <sz val="9"/>
            <color indexed="81"/>
            <rFont val="Segoe UI"/>
            <family val="2"/>
          </rPr>
          <t xml:space="preserve">
Veículo está em processo de compra para ser adquirido</t>
        </r>
      </text>
    </comment>
    <comment ref="B1236" authorId="0" shapeId="0" xr:uid="{8C21D4D8-B4B6-438D-9F21-D6EE0490B41B}">
      <text>
        <r>
          <rPr>
            <b/>
            <sz val="9"/>
            <color indexed="81"/>
            <rFont val="Segoe UI"/>
            <family val="2"/>
          </rPr>
          <t>Compras 03:</t>
        </r>
        <r>
          <rPr>
            <sz val="9"/>
            <color indexed="81"/>
            <rFont val="Segoe UI"/>
            <family val="2"/>
          </rPr>
          <t xml:space="preserve">
Veículo está em processo de compra para ser adquirido</t>
        </r>
      </text>
    </comment>
    <comment ref="B1237" authorId="0" shapeId="0" xr:uid="{D0698D4C-3A31-43A3-8357-7E2784A2ACD4}">
      <text>
        <r>
          <rPr>
            <b/>
            <sz val="9"/>
            <color indexed="81"/>
            <rFont val="Segoe UI"/>
            <family val="2"/>
          </rPr>
          <t>Compras 03:</t>
        </r>
        <r>
          <rPr>
            <sz val="9"/>
            <color indexed="81"/>
            <rFont val="Segoe UI"/>
            <family val="2"/>
          </rPr>
          <t xml:space="preserve">
Veículo está em processo de compra para ser adquirido</t>
        </r>
      </text>
    </comment>
    <comment ref="B1238" authorId="0" shapeId="0" xr:uid="{1B29DDF1-2D7B-4CC5-8BCB-8CEFB3C13759}">
      <text>
        <r>
          <rPr>
            <b/>
            <sz val="9"/>
            <color indexed="81"/>
            <rFont val="Segoe UI"/>
            <family val="2"/>
          </rPr>
          <t>Compras 03:</t>
        </r>
        <r>
          <rPr>
            <sz val="9"/>
            <color indexed="81"/>
            <rFont val="Segoe UI"/>
            <family val="2"/>
          </rPr>
          <t xml:space="preserve">
Veículo está em processo de compra para ser adquirido</t>
        </r>
      </text>
    </comment>
    <comment ref="B1240" authorId="0" shapeId="0" xr:uid="{11C6CC30-FF8D-47DA-B00E-61E84A9DE742}">
      <text>
        <r>
          <rPr>
            <b/>
            <sz val="9"/>
            <color indexed="81"/>
            <rFont val="Segoe UI"/>
            <family val="2"/>
          </rPr>
          <t>Compras 03:</t>
        </r>
        <r>
          <rPr>
            <sz val="9"/>
            <color indexed="81"/>
            <rFont val="Segoe UI"/>
            <family val="2"/>
          </rPr>
          <t xml:space="preserve">
Veículo está em processo de compra para ser adquirido</t>
        </r>
      </text>
    </comment>
    <comment ref="B1241" authorId="0" shapeId="0" xr:uid="{1201CE5B-67F9-42CB-B36E-FA87BE87F621}">
      <text>
        <r>
          <rPr>
            <b/>
            <sz val="9"/>
            <color indexed="81"/>
            <rFont val="Segoe UI"/>
            <family val="2"/>
          </rPr>
          <t>Compras 03:</t>
        </r>
        <r>
          <rPr>
            <sz val="9"/>
            <color indexed="81"/>
            <rFont val="Segoe UI"/>
            <family val="2"/>
          </rPr>
          <t xml:space="preserve">
Veículo está em processo de compra para ser adquirido</t>
        </r>
      </text>
    </comment>
    <comment ref="J1245" authorId="0" shapeId="0" xr:uid="{EC3672A9-7653-452D-9BF0-01D1BBE11DF6}">
      <text>
        <r>
          <rPr>
            <b/>
            <sz val="9"/>
            <color indexed="81"/>
            <rFont val="Segoe UI"/>
            <family val="2"/>
          </rPr>
          <t>Compras 03:</t>
        </r>
        <r>
          <rPr>
            <sz val="9"/>
            <color indexed="81"/>
            <rFont val="Segoe UI"/>
            <family val="2"/>
          </rPr>
          <t xml:space="preserve">
SC116/2017
Centro de consumo: Recursos adicionais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João Gabriel Bomfim Malheiros</author>
  </authors>
  <commentList>
    <comment ref="B2" authorId="0" shapeId="0" xr:uid="{A0DC6038-D843-467A-9EB6-A556243EB48C}">
      <text>
        <r>
          <rPr>
            <sz val="9"/>
            <color indexed="81"/>
            <rFont val="Tahoma"/>
            <family val="2"/>
          </rPr>
          <t>Inclui Monitor, Sistema Operacional, CPU e Office Completo.
Padrão de qualidade Intel Corre i5 ou similar</t>
        </r>
      </text>
    </comment>
    <comment ref="B5" authorId="0" shapeId="0" xr:uid="{5D849A3A-C90C-4A6A-B5E9-AD08707937A9}">
      <text>
        <r>
          <rPr>
            <sz val="9"/>
            <color indexed="81"/>
            <rFont val="Tahoma"/>
            <family val="2"/>
          </rPr>
          <t>Qualidade Just Home Collection ou similar</t>
        </r>
      </text>
    </comment>
    <comment ref="B6" authorId="0" shapeId="0" xr:uid="{CD477001-58D9-4584-81A3-C05A173EFFCF}">
      <text>
        <r>
          <rPr>
            <sz val="9"/>
            <color indexed="81"/>
            <rFont val="Tahoma"/>
            <family val="2"/>
          </rPr>
          <t>Inclui as cores azul, vermelha e preta, dividas de forma proporcional pela quantidade de itens.
Padrão de qualidade BIC ou similar.</t>
        </r>
      </text>
    </comment>
    <comment ref="B10" authorId="0" shapeId="0" xr:uid="{769193AC-7632-4D7E-83CD-75F1C706A0EE}">
      <text>
        <r>
          <rPr>
            <sz val="9"/>
            <color indexed="81"/>
            <rFont val="Tahoma"/>
            <family val="2"/>
          </rPr>
          <t>Caixa com 50 unidades</t>
        </r>
      </text>
    </comment>
    <comment ref="B11" authorId="0" shapeId="0" xr:uid="{749EBD57-00F9-4635-9D37-F9667127EF68}">
      <text>
        <r>
          <rPr>
            <sz val="9"/>
            <color indexed="81"/>
            <rFont val="Tahoma"/>
            <family val="2"/>
          </rPr>
          <t>Caixa com 5.000 unidades</t>
        </r>
      </text>
    </comment>
    <comment ref="B12" authorId="0" shapeId="0" xr:uid="{027BC39A-55AA-462D-9FB2-2AEF23EB95EE}">
      <text>
        <r>
          <rPr>
            <sz val="9"/>
            <color indexed="81"/>
            <rFont val="Tahoma"/>
            <family val="2"/>
          </rPr>
          <t>Caixa com 1.000 unidades</t>
        </r>
      </text>
    </comment>
    <comment ref="B16" authorId="0" shapeId="0" xr:uid="{53C1F7A1-BCE2-4A2F-A789-E29A14096C1A}">
      <text>
        <r>
          <rPr>
            <sz val="9"/>
            <color indexed="81"/>
            <rFont val="Tahoma"/>
            <family val="2"/>
          </rPr>
          <t>Padrão de qualidade Faber Castell ou similar.</t>
        </r>
      </text>
    </comment>
    <comment ref="B18" authorId="0" shapeId="0" xr:uid="{E6296E52-2CB5-4F33-B9FB-A4B48C187A94}">
      <text>
        <r>
          <rPr>
            <sz val="9"/>
            <color indexed="81"/>
            <rFont val="Tahoma"/>
            <family val="2"/>
          </rPr>
          <t>Padrão de qualidade Faber Castell ou similiar</t>
        </r>
      </text>
    </comment>
    <comment ref="B20" authorId="0" shapeId="0" xr:uid="{187A11D1-D248-4B95-A1F6-8D84274D5184}">
      <text>
        <r>
          <rPr>
            <sz val="9"/>
            <color indexed="81"/>
            <rFont val="Tahoma"/>
            <family val="2"/>
          </rPr>
          <t>Caixa com 100 unidades</t>
        </r>
      </text>
    </comment>
    <comment ref="B22" authorId="0" shapeId="0" xr:uid="{0600C5A1-64F1-4590-8E59-1932E0E46379}">
      <text>
        <r>
          <rPr>
            <sz val="9"/>
            <color indexed="81"/>
            <rFont val="Tahoma"/>
            <family val="2"/>
          </rPr>
          <t>Caixa com 50 unidades</t>
        </r>
      </text>
    </comment>
    <comment ref="B26" authorId="0" shapeId="0" xr:uid="{62D19C0A-0C6B-4144-AB1E-92AA5ED296AC}">
      <text>
        <r>
          <rPr>
            <sz val="9"/>
            <color indexed="81"/>
            <rFont val="Tahoma"/>
            <family val="2"/>
          </rPr>
          <t>Inclui as cores amarela, roxa, laranja e verde, dividas de forma proporcional pela quantidade de itens.</t>
        </r>
      </text>
    </comment>
    <comment ref="B27" authorId="0" shapeId="0" xr:uid="{5146DB2F-6D8B-4602-88B4-89E2EA3BB865}">
      <text>
        <r>
          <rPr>
            <sz val="9"/>
            <color indexed="81"/>
            <rFont val="Tahoma"/>
            <family val="2"/>
          </rPr>
          <t>O tamanho e preço podem variar conforme o tamanho das janelas de cada setor</t>
        </r>
      </text>
    </comment>
    <comment ref="H43" authorId="0" shapeId="0" xr:uid="{DA87B833-5501-4508-900E-54ADA77211DC}">
      <text>
        <r>
          <rPr>
            <sz val="9"/>
            <color indexed="81"/>
            <rFont val="Tahoma"/>
            <family val="2"/>
          </rPr>
          <t>Considerando o preço da gasolina em 02/08/2023</t>
        </r>
      </text>
    </comment>
    <comment ref="B54" authorId="0" shapeId="0" xr:uid="{46E1B40D-67D9-4EDE-98B4-0B2DA097E0A0}">
      <text>
        <r>
          <rPr>
            <sz val="9"/>
            <color indexed="81"/>
            <rFont val="Tahoma"/>
            <family val="2"/>
          </rPr>
          <t>Pacote com 12 unidades</t>
        </r>
      </text>
    </comment>
    <comment ref="B56" authorId="0" shapeId="0" xr:uid="{E0C90BBD-D9F5-4125-8E4E-99E465E10206}">
      <text>
        <r>
          <rPr>
            <sz val="9"/>
            <color indexed="81"/>
            <rFont val="Tahoma"/>
            <family val="2"/>
          </rPr>
          <t xml:space="preserve">caixa com 5.000 unidades
</t>
        </r>
      </text>
    </comment>
    <comment ref="B63" authorId="0" shapeId="0" xr:uid="{885484EA-33A7-4DE4-AEE5-A6594677559F}">
      <text>
        <r>
          <rPr>
            <sz val="9"/>
            <color indexed="81"/>
            <rFont val="Tahoma"/>
            <family val="2"/>
          </rPr>
          <t>Padrão de qualidade KRAFT ou similar.</t>
        </r>
      </text>
    </comment>
    <comment ref="F66" authorId="0" shapeId="0" xr:uid="{E7BA9F4A-352E-4262-AFCF-D1DF352B7536}">
      <text>
        <r>
          <rPr>
            <sz val="9"/>
            <color indexed="81"/>
            <rFont val="Tahoma"/>
            <family val="2"/>
          </rPr>
          <t>Pacote com 100 unidades</t>
        </r>
      </text>
    </comment>
    <comment ref="F67" authorId="0" shapeId="0" xr:uid="{F62FC9C6-458D-41B3-B0B6-89FA151FA197}">
      <text>
        <r>
          <rPr>
            <sz val="9"/>
            <color indexed="81"/>
            <rFont val="Tahoma"/>
            <family val="2"/>
          </rPr>
          <t>Pacote com 100 unidades</t>
        </r>
      </text>
    </comment>
    <comment ref="B72" authorId="0" shapeId="0" xr:uid="{104D06CA-15DB-4549-AA38-364C2B7F0717}">
      <text>
        <r>
          <rPr>
            <sz val="9"/>
            <color indexed="81"/>
            <rFont val="Tahoma"/>
            <family val="2"/>
          </rPr>
          <t xml:space="preserve">Abrange os serviços essencias e já prestados pela empresa, como PEC, SUP, BAW, GEDA, TRIB, entre outros
</t>
        </r>
      </text>
    </comment>
    <comment ref="H72" authorId="0" shapeId="0" xr:uid="{036E7D2C-44F2-419A-AFE8-234F3F7318C1}">
      <text>
        <r>
          <rPr>
            <sz val="9"/>
            <color indexed="81"/>
            <rFont val="Tahoma"/>
            <family val="2"/>
          </rPr>
          <t>Valor empenhado no exercício na dotação da Secretaria de Finanças, referente à contratação vigente</t>
        </r>
      </text>
    </comment>
    <comment ref="E73" authorId="0" shapeId="0" xr:uid="{FB83A74B-0A05-4981-8D47-0E4E6F0D4D5B}">
      <text>
        <r>
          <rPr>
            <sz val="9"/>
            <color indexed="81"/>
            <rFont val="Tahoma"/>
            <family val="2"/>
          </rPr>
          <t>Quantidade referente ao número total de equipamentos instalados em cada setor.</t>
        </r>
      </text>
    </comment>
    <comment ref="E74" authorId="0" shapeId="0" xr:uid="{6F10C838-F4B8-44EB-B035-F2BED557A645}">
      <text>
        <r>
          <rPr>
            <sz val="9"/>
            <color indexed="81"/>
            <rFont val="Tahoma"/>
            <family val="2"/>
          </rPr>
          <t>Quantidade referente ao númerototal  de equipamentos instalados em cada setor.</t>
        </r>
      </text>
    </comment>
    <comment ref="E75" authorId="0" shapeId="0" xr:uid="{DAFC328D-6583-48D8-8BBB-DD4C00705874}">
      <text>
        <r>
          <rPr>
            <sz val="9"/>
            <color indexed="81"/>
            <rFont val="Tahoma"/>
            <family val="2"/>
          </rPr>
          <t>Número de secretarias que utilizam os serviços</t>
        </r>
      </text>
    </comment>
    <comment ref="H75" authorId="0" shapeId="0" xr:uid="{095705AD-C624-4A5E-B5E0-8282CF9163B8}">
      <text>
        <r>
          <rPr>
            <sz val="9"/>
            <color indexed="81"/>
            <rFont val="Tahoma"/>
            <family val="2"/>
          </rPr>
          <t>Valor mensal dos serviços de internet</t>
        </r>
      </text>
    </comment>
    <comment ref="I75" authorId="0" shapeId="0" xr:uid="{F1FBD116-F305-40AF-82BD-BE3F427A16CB}">
      <text>
        <r>
          <rPr>
            <sz val="9"/>
            <color indexed="81"/>
            <rFont val="Tahoma"/>
            <family val="2"/>
          </rPr>
          <t>Valor encontrado multiplicando o valor mensal dos serviços de internet, vezes o nº de setores, multiplicado por 12 meses e, por fim, somado ao valor anual dos serviços de e-mail.</t>
        </r>
      </text>
    </comment>
    <comment ref="E76" authorId="0" shapeId="0" xr:uid="{8E136A6A-DE63-4F1D-ADA4-D933CBB881F3}">
      <text>
        <r>
          <rPr>
            <sz val="9"/>
            <color indexed="81"/>
            <rFont val="Tahoma"/>
            <family val="2"/>
          </rPr>
          <t>Número de secretarias que utilizam os serviços</t>
        </r>
      </text>
    </comment>
    <comment ref="H76" authorId="0" shapeId="0" xr:uid="{4BAE2EC7-A84E-4709-B570-4B68843C0DD5}">
      <text>
        <r>
          <rPr>
            <sz val="9"/>
            <color indexed="81"/>
            <rFont val="Tahoma"/>
            <family val="2"/>
          </rPr>
          <t>Peço estimado mensal de um plano de telefone. 
O serviço considera o total de pontos que, muitas vezes, confundem-se com os de outros setores (como a internet, que é utilizada por todo o paço municipal. Portanto, uma estimativa rezoável fica impossível..</t>
        </r>
      </text>
    </comment>
    <comment ref="E77" authorId="0" shapeId="0" xr:uid="{F6A73DCD-292C-4BA5-8A77-A15B47B124FE}">
      <text>
        <r>
          <rPr>
            <sz val="9"/>
            <color indexed="81"/>
            <rFont val="Tahoma"/>
            <family val="2"/>
          </rPr>
          <t>Número estimado de folhas A4 produzidas até o momento pela Secretaria.</t>
        </r>
      </text>
    </comment>
    <comment ref="H77" authorId="0" shapeId="0" xr:uid="{41C3ACA6-4BF3-48D8-9A9F-E6E86C275B55}">
      <text>
        <r>
          <rPr>
            <sz val="9"/>
            <color indexed="81"/>
            <rFont val="Tahoma"/>
            <family val="2"/>
          </rPr>
          <t>Preço superficialmente cotado, relativo à cada folha A4 digitalizada. O valor necessita de realização de orçamentos com as empresas, considerando o número de documentos que serão digitalizado e, ainda, a crescente produção</t>
        </r>
        <r>
          <rPr>
            <b/>
            <sz val="9"/>
            <color indexed="81"/>
            <rFont val="Tahoma"/>
            <family val="2"/>
          </rPr>
          <t xml:space="preserve"> </t>
        </r>
        <r>
          <rPr>
            <sz val="9"/>
            <color indexed="81"/>
            <rFont val="Tahoma"/>
            <family val="2"/>
          </rPr>
          <t>de arquivo morto.</t>
        </r>
      </text>
    </comment>
    <comment ref="H79" authorId="0" shapeId="0" xr:uid="{08F82720-A9F9-4D34-A6B9-7DF1F71683C8}">
      <text>
        <r>
          <rPr>
            <sz val="9"/>
            <color indexed="81"/>
            <rFont val="Tahoma"/>
            <family val="2"/>
          </rPr>
          <t>Valor empenhado no exercício na dotação da Secretaria de Finanças, referente à contratação vigente</t>
        </r>
      </text>
    </comment>
    <comment ref="E80" authorId="0" shapeId="0" xr:uid="{1DB06B60-6401-434F-8BD2-DEA6A9579334}">
      <text>
        <r>
          <rPr>
            <sz val="9"/>
            <color indexed="81"/>
            <rFont val="Tahoma"/>
            <family val="2"/>
          </rPr>
          <t>Aplicado à somatória do número de carros em posse e pretendidos para aquisição da Secretaria.</t>
        </r>
      </text>
    </comment>
    <comment ref="H80" authorId="0" shapeId="0" xr:uid="{29606743-BD24-49AB-9999-946D6BFE1858}">
      <text>
        <r>
          <rPr>
            <sz val="9"/>
            <color indexed="81"/>
            <rFont val="Tahoma"/>
            <family val="2"/>
          </rPr>
          <t>Estimativo de reparos para um carro, haja vista que o outro será 0km. 
O valor varia conforme o tipo de manutenção efetivada pela contratada, sendo irrazoável sua estimativa.</t>
        </r>
      </text>
    </comment>
    <comment ref="E81" authorId="0" shapeId="0" xr:uid="{F8EBD783-EDD3-427B-A038-0559ADE1890C}">
      <text>
        <r>
          <rPr>
            <sz val="9"/>
            <color indexed="81"/>
            <rFont val="Tahoma"/>
            <family val="2"/>
          </rPr>
          <t>Referente aos meses de uso do contrato</t>
        </r>
      </text>
    </comment>
    <comment ref="H81" authorId="0" shapeId="0" xr:uid="{197E90CB-A93C-4DA3-B177-724EB0DEBA55}">
      <text>
        <r>
          <rPr>
            <sz val="9"/>
            <color indexed="81"/>
            <rFont val="Tahoma"/>
            <family val="2"/>
          </rPr>
          <t>Valor cotado conforme preço do serviço na Prefeitura de Guararema-SP.</t>
        </r>
      </text>
    </comment>
    <comment ref="E82" authorId="0" shapeId="0" xr:uid="{54C6F8B7-5E9D-4703-BBCB-CABF890972F4}">
      <text>
        <r>
          <rPr>
            <sz val="9"/>
            <color indexed="81"/>
            <rFont val="Tahoma"/>
            <family val="2"/>
          </rPr>
          <t>Número de secretarias que utilizam os serviços</t>
        </r>
      </text>
    </comment>
    <comment ref="H82" authorId="0" shapeId="0" xr:uid="{7EA062F3-542B-445C-807D-54C63979CFC2}">
      <text>
        <r>
          <rPr>
            <sz val="9"/>
            <color indexed="81"/>
            <rFont val="Tahoma"/>
            <family val="2"/>
          </rPr>
          <t>Preço baseado no empenhado pela Secretaria até o momento.</t>
        </r>
      </text>
    </comment>
    <comment ref="H83" authorId="0" shapeId="0" xr:uid="{A8B69CD8-0F03-491B-B5E4-08D1DA79E07A}">
      <text>
        <r>
          <rPr>
            <sz val="9"/>
            <color indexed="81"/>
            <rFont val="Tahoma"/>
            <family val="2"/>
          </rPr>
          <t xml:space="preserve">Valor empenhado do contrato
</t>
        </r>
      </text>
    </comment>
  </commentList>
</comments>
</file>

<file path=xl/sharedStrings.xml><?xml version="1.0" encoding="utf-8"?>
<sst xmlns="http://schemas.openxmlformats.org/spreadsheetml/2006/main" count="53040" uniqueCount="6218">
  <si>
    <t>Número do Item</t>
  </si>
  <si>
    <t>Subitem</t>
  </si>
  <si>
    <t>Ramo de atividade</t>
  </si>
  <si>
    <t>Valor total estimado</t>
  </si>
  <si>
    <t>Participação de recursos externos</t>
  </si>
  <si>
    <t>Grau de prioridade</t>
  </si>
  <si>
    <t>Data desejada do contrato ou aditivo</t>
  </si>
  <si>
    <t>Renovação de contrato</t>
  </si>
  <si>
    <t>Unidade</t>
  </si>
  <si>
    <t>Descrição sucinta</t>
  </si>
  <si>
    <t>Tipo de item</t>
  </si>
  <si>
    <t>Quantidade de itens</t>
  </si>
  <si>
    <t>Secretaria ou Órgão Requisitante</t>
  </si>
  <si>
    <t>Secretaria de Meio Ambiente</t>
  </si>
  <si>
    <t>Justificativa</t>
  </si>
  <si>
    <t>Valor unitario</t>
  </si>
  <si>
    <t>Serviço de acesso à Internet</t>
  </si>
  <si>
    <t>Contínuo</t>
  </si>
  <si>
    <t>MÊS</t>
  </si>
  <si>
    <t>TI</t>
  </si>
  <si>
    <t>Não</t>
  </si>
  <si>
    <t>Alto</t>
  </si>
  <si>
    <t>TONELADAS</t>
  </si>
  <si>
    <t>Sim - Contrato n° 04/2021</t>
  </si>
  <si>
    <t>Destinação final de Resíduos Sólidos Domiciliares</t>
  </si>
  <si>
    <t>Serviço</t>
  </si>
  <si>
    <t>Solução de TI</t>
  </si>
  <si>
    <t xml:space="preserve">Aterro Sanitário </t>
  </si>
  <si>
    <t>Sim - Contrato n° 154/2022</t>
  </si>
  <si>
    <t>Sim - Contrato n° 103/2020</t>
  </si>
  <si>
    <t>Impressões coloridas</t>
  </si>
  <si>
    <t>Impressões monocromáticas</t>
  </si>
  <si>
    <t>IMPRESSÃO</t>
  </si>
  <si>
    <t>UNIDADE</t>
  </si>
  <si>
    <t>Material</t>
  </si>
  <si>
    <t>Consumo</t>
  </si>
  <si>
    <t>Baixo</t>
  </si>
  <si>
    <t>Botijão de gás retornável</t>
  </si>
  <si>
    <t>Sim</t>
  </si>
  <si>
    <t>Gasolina comum</t>
  </si>
  <si>
    <t>Posto de gasolina</t>
  </si>
  <si>
    <t>Açúcar refinado 1 kg</t>
  </si>
  <si>
    <t>Água sanitária 5 L</t>
  </si>
  <si>
    <t>Água sanitária 1 L</t>
  </si>
  <si>
    <t>Filtro de papel  103 para café</t>
  </si>
  <si>
    <t>Pó de café 500 g</t>
  </si>
  <si>
    <t xml:space="preserve">Álcool etílico 92,8% </t>
  </si>
  <si>
    <t>Aparelho de telefone sem fio com ramal adicional</t>
  </si>
  <si>
    <t>Apontador para lápis</t>
  </si>
  <si>
    <t>Armário de ferro medindo 198x120x40 com 4 prateleiras reguláveis e portas com chave maçaneta</t>
  </si>
  <si>
    <t>Arquivo de aço medindo 133x47x70 possuindo 4 gavetas para pasta suspensa com chave</t>
  </si>
  <si>
    <t>Barbante 100% algodão cru - 01 pacote com 06 rolos de 84m.</t>
  </si>
  <si>
    <t>PACOTE</t>
  </si>
  <si>
    <t>Caneta esferográfica cor azul média</t>
  </si>
  <si>
    <t>Caneta esferográfica cor vermelha</t>
  </si>
  <si>
    <t>Caneta marca texto</t>
  </si>
  <si>
    <t>Clips 2/0 caixa com 100 unidades</t>
  </si>
  <si>
    <t>CAIXA</t>
  </si>
  <si>
    <t>LITRO</t>
  </si>
  <si>
    <t>FRASCO</t>
  </si>
  <si>
    <t>GALÃO</t>
  </si>
  <si>
    <t xml:space="preserve">Envelope saco plástico 4 furos A4 </t>
  </si>
  <si>
    <t>Escova de nylon oval</t>
  </si>
  <si>
    <t>Espanador 30 cm</t>
  </si>
  <si>
    <t>Esponja de aço</t>
  </si>
  <si>
    <t>Esponja de limpeza dupla face</t>
  </si>
  <si>
    <t>Estante de aço medindo 198x92x40 possuindo 6 bandejas com reforço central e três dobras laterais</t>
  </si>
  <si>
    <t>Estilete largo</t>
  </si>
  <si>
    <t>Etiqueta Ink-jet/Laser Carta 215,9 x 279,4 Caixa com 25 unidades</t>
  </si>
  <si>
    <t>Extrator de grampo</t>
  </si>
  <si>
    <t>Fita adesiva transparente 18 mm x 50 m</t>
  </si>
  <si>
    <t>Fita adesiva transparente 45 mm x 50 m</t>
  </si>
  <si>
    <t>Fita dupla face 18 mm x 30 m</t>
  </si>
  <si>
    <t>Fósforo pacote com 10 caixas com 40 palitos</t>
  </si>
  <si>
    <t>Grama São Carlos plantada</t>
  </si>
  <si>
    <t>M2</t>
  </si>
  <si>
    <t>Grampeador pequeno com base 13 cm</t>
  </si>
  <si>
    <t>Grampo para grampeador 26/6 caixa com 5000 unidades</t>
  </si>
  <si>
    <t>Grampo trilho de metal com 50 unidades</t>
  </si>
  <si>
    <t>Livro ata 205 x 300 mm</t>
  </si>
  <si>
    <t>Livro de protocolo com 104 folhas 154 mm x 216 mm</t>
  </si>
  <si>
    <t>PAR</t>
  </si>
  <si>
    <t xml:space="preserve">Luva látex forrada G </t>
  </si>
  <si>
    <t>Luva látex forrada M</t>
  </si>
  <si>
    <t>Pá para lixo metálica</t>
  </si>
  <si>
    <t>Pano de chão alvejado</t>
  </si>
  <si>
    <t>Pano de prato alvejado</t>
  </si>
  <si>
    <t>Pano multiuso pacote 5 unidades</t>
  </si>
  <si>
    <t xml:space="preserve">Papel higiênico </t>
  </si>
  <si>
    <t>ROLO</t>
  </si>
  <si>
    <t>Papel sulfite A4 resma 500 folhas</t>
  </si>
  <si>
    <t>Papel toalha interfolhas branco 23 cm x 21 cm 02 dobras 1000 folhas</t>
  </si>
  <si>
    <t>Flanela para limpeza 30 cm x 40 cm pacote com 12 unidades</t>
  </si>
  <si>
    <t xml:space="preserve">Pasta catálogo A4 50 plásticos </t>
  </si>
  <si>
    <t>Pasta em L A4</t>
  </si>
  <si>
    <t>Pasta registradora AZ</t>
  </si>
  <si>
    <t>Pedra sanitária 40 g</t>
  </si>
  <si>
    <t>Pendrive 16 gb</t>
  </si>
  <si>
    <t>Perfurador de papel com 2 furos</t>
  </si>
  <si>
    <t>CARTELA</t>
  </si>
  <si>
    <t xml:space="preserve">Pilha alcalina AAA </t>
  </si>
  <si>
    <t>Pincel atômico cor preta</t>
  </si>
  <si>
    <t>Pincel atômico cor vermelha</t>
  </si>
  <si>
    <t>Rodo plástico com cabo 30 cm</t>
  </si>
  <si>
    <t>Sabonete líquido</t>
  </si>
  <si>
    <t>FARDO</t>
  </si>
  <si>
    <t>Saco para lixo 110 L preto fardo com 100</t>
  </si>
  <si>
    <t>Saco para lixo 15 L preto fardo com 100</t>
  </si>
  <si>
    <t>Saco para lixo 30 L preto fardo com 100</t>
  </si>
  <si>
    <t>Tesoura multiuso</t>
  </si>
  <si>
    <t xml:space="preserve">Vassoura de nylon </t>
  </si>
  <si>
    <t>Vassoura de vasculho para teto com cabo</t>
  </si>
  <si>
    <t>Vassoura lavatina de nylon</t>
  </si>
  <si>
    <t>Vassoura lavatina de piaçava</t>
  </si>
  <si>
    <t xml:space="preserve">Borracharia </t>
  </si>
  <si>
    <t>Manutenção mecânica</t>
  </si>
  <si>
    <t>Confecção de adesivos para veículos</t>
  </si>
  <si>
    <t>Confecção de cartilha com 20 páginas</t>
  </si>
  <si>
    <t>Confecção de banner colorido</t>
  </si>
  <si>
    <t>Confecção de placa em chapa de aço galvanizada com aplicação em adesivo colorido</t>
  </si>
  <si>
    <t>Confecção de faixa em lona com impressão digital colorida</t>
  </si>
  <si>
    <t xml:space="preserve">Confecção de bloco de anotações com 60 páginas </t>
  </si>
  <si>
    <t>Confecção de folder formato aberto com duas dobras</t>
  </si>
  <si>
    <t>Guincho</t>
  </si>
  <si>
    <t>HORAS</t>
  </si>
  <si>
    <t xml:space="preserve">Passes - Taubaté </t>
  </si>
  <si>
    <t>Passes - Taubaté-Tremembé</t>
  </si>
  <si>
    <t>Passes - Caçapava-Lorena</t>
  </si>
  <si>
    <t>Passes - Caçapava-Lorena (taxa de embarque)</t>
  </si>
  <si>
    <t>Confecção de folder colorido A4 com 1 dobra</t>
  </si>
  <si>
    <t>Confecção de flyer A6 frente e verso colorido</t>
  </si>
  <si>
    <t>Confecção de envelope ofício timbrado 114 mm x 229 mm</t>
  </si>
  <si>
    <t>Instalação de ar condicionado</t>
  </si>
  <si>
    <t>Monitor para Desktop</t>
  </si>
  <si>
    <t>Computador Desktop com desempenho mediano acompanhando Windows atualizado, monitor, teclado, mouse e filtro de linha</t>
  </si>
  <si>
    <t>Lima para motosserra 4 mm</t>
  </si>
  <si>
    <t>Lima para motosserra 5,5 mm</t>
  </si>
  <si>
    <t>Rolo de corda poliéster 12 mm</t>
  </si>
  <si>
    <t>Rolo de corda poliéster 14 mm</t>
  </si>
  <si>
    <t xml:space="preserve">Corrente com duas guias de 42 dentes para motosserra </t>
  </si>
  <si>
    <t xml:space="preserve">Corrente com duas guias de 30 dentes para motosserra </t>
  </si>
  <si>
    <t>Corrente de 22 dentes para motosserra</t>
  </si>
  <si>
    <t>Serrote de poda 14"</t>
  </si>
  <si>
    <t>Vassoura resistente para poda</t>
  </si>
  <si>
    <t>Forcado curvo - gadanho</t>
  </si>
  <si>
    <t>Forcado reto - garfo</t>
  </si>
  <si>
    <t>Vassoura para gramado</t>
  </si>
  <si>
    <t>Tesoura de poda</t>
  </si>
  <si>
    <t>Pá de bico</t>
  </si>
  <si>
    <t>Pá quadrada</t>
  </si>
  <si>
    <t>Isca formicida granulado</t>
  </si>
  <si>
    <t>Cupinicida</t>
  </si>
  <si>
    <t>Calcário dolomítico</t>
  </si>
  <si>
    <t>Adubo NPK (04/14/08)</t>
  </si>
  <si>
    <t>Condicionante hídrico - hidrogel</t>
  </si>
  <si>
    <t>Veículo tipo caminhonete</t>
  </si>
  <si>
    <t>Veículo de passeio</t>
  </si>
  <si>
    <t xml:space="preserve">Análise de composição gravimétrica de resíduos sólidos </t>
  </si>
  <si>
    <t>Roteadores</t>
  </si>
  <si>
    <t>Caixa de som portátil</t>
  </si>
  <si>
    <t>Cavadeira de ferro</t>
  </si>
  <si>
    <t>Terra vermelha limpa, sem sementes de ervas daninhas</t>
  </si>
  <si>
    <t>Areia média para canteiros de germinação</t>
  </si>
  <si>
    <t>M3</t>
  </si>
  <si>
    <t>Peneira de areia 55 cm</t>
  </si>
  <si>
    <t>Filtro de linha 6 tomadas</t>
  </si>
  <si>
    <t>Calibração do decibelímetro</t>
  </si>
  <si>
    <t>Decibelímetro</t>
  </si>
  <si>
    <t>Permanente</t>
  </si>
  <si>
    <t>Médio</t>
  </si>
  <si>
    <t>Manutenção do decibelímetro</t>
  </si>
  <si>
    <t>GPS</t>
  </si>
  <si>
    <t xml:space="preserve">Material </t>
  </si>
  <si>
    <t>Câmera trap</t>
  </si>
  <si>
    <t>Notebook</t>
  </si>
  <si>
    <t>Análise química de glifosato - água</t>
  </si>
  <si>
    <t>Análise química de glilfosato - solo</t>
  </si>
  <si>
    <t>Análise química de água</t>
  </si>
  <si>
    <t>Capacitação para os servidores da Secretaria de Meio Ambiente</t>
  </si>
  <si>
    <t>Capacitação dos servidores para o melhor entendimento e andamento dos processos</t>
  </si>
  <si>
    <t>Inscrição dos servidores para Eventos relacionados a área ambiental</t>
  </si>
  <si>
    <t>Participação dos servidores para atualização dos temas relacionado ao meio ambiente</t>
  </si>
  <si>
    <t>Cerca para delimitar área de plantio - 20 m x 1,80 m de altura</t>
  </si>
  <si>
    <t>Necessita de carro de passeio para realizar fiscalização e vistorias na área urbana do municipio</t>
  </si>
  <si>
    <t>Necessita de uma caminhonete para as áreas de dificil acesso - área rural</t>
  </si>
  <si>
    <t>Para divulgação de ações de educação ambiental, entre outros.</t>
  </si>
  <si>
    <t>Livros</t>
  </si>
  <si>
    <t>Cópias de chaves</t>
  </si>
  <si>
    <t>Ventilador de coluna</t>
  </si>
  <si>
    <t>Mesa de escritório</t>
  </si>
  <si>
    <t>Pneus</t>
  </si>
  <si>
    <t>Tomadas</t>
  </si>
  <si>
    <t>Balança</t>
  </si>
  <si>
    <t xml:space="preserve">Prensa </t>
  </si>
  <si>
    <t>Carrinho plataforma</t>
  </si>
  <si>
    <t>Lâmpada LED comum</t>
  </si>
  <si>
    <t>Lâmpada LED tubular</t>
  </si>
  <si>
    <t>"Coffee break" para 200 pessoas</t>
  </si>
  <si>
    <t>Kit lanche</t>
  </si>
  <si>
    <t>Perfuração de poços para a realização de monitoramento ambiental com 4 poços no total</t>
  </si>
  <si>
    <t>Máquina fotográfica com cartão de memória</t>
  </si>
  <si>
    <t>Projetor multimídia - data show</t>
  </si>
  <si>
    <t>Trena de bolso tamanho 8 m</t>
  </si>
  <si>
    <t>Cadeira de escritório presidente anatômica na base giratória com regulagem de altura a gás</t>
  </si>
  <si>
    <t>Par de placas de veículo padrão Mercosul</t>
  </si>
  <si>
    <t>Bebidas</t>
  </si>
  <si>
    <t>Gás</t>
  </si>
  <si>
    <t>Alimentos</t>
  </si>
  <si>
    <t>Eletrônicos</t>
  </si>
  <si>
    <t>Móveis</t>
  </si>
  <si>
    <t>Jardinagem</t>
  </si>
  <si>
    <t>Mercadorias em geral</t>
  </si>
  <si>
    <t>Borracharia</t>
  </si>
  <si>
    <t>Manutenção de veículos</t>
  </si>
  <si>
    <t>Testes e análises técnicas</t>
  </si>
  <si>
    <t>Gráfica</t>
  </si>
  <si>
    <t>Assistência a veículos</t>
  </si>
  <si>
    <t>Passagens rodoviárias</t>
  </si>
  <si>
    <t>Ferramentas</t>
  </si>
  <si>
    <t xml:space="preserve">Obras </t>
  </si>
  <si>
    <t>Insumos agrícolas</t>
  </si>
  <si>
    <t>Veículos</t>
  </si>
  <si>
    <t>Emplacadora</t>
  </si>
  <si>
    <t xml:space="preserve">Roçadeira </t>
  </si>
  <si>
    <t xml:space="preserve">Motosserra </t>
  </si>
  <si>
    <t xml:space="preserve">Motopoda </t>
  </si>
  <si>
    <t>Máquinas e equipamentos</t>
  </si>
  <si>
    <t>Informática</t>
  </si>
  <si>
    <t>Manutenção e reparação de aparelhos</t>
  </si>
  <si>
    <t>Serviços de Engenharia / Consultoria</t>
  </si>
  <si>
    <t>Perneira - par</t>
  </si>
  <si>
    <t>Curso de aperfeiçoamento profissional</t>
  </si>
  <si>
    <t>Eventos</t>
  </si>
  <si>
    <t>Fabricação de cercas metálicas</t>
  </si>
  <si>
    <t>Equipamentos de Proteção Individual</t>
  </si>
  <si>
    <t>Livraria</t>
  </si>
  <si>
    <t>Confecção de carimbos</t>
  </si>
  <si>
    <t>Chaveiros</t>
  </si>
  <si>
    <t>Cadeira para escritório</t>
  </si>
  <si>
    <t>Padaria</t>
  </si>
  <si>
    <t>Pneus para veículo de passeio</t>
  </si>
  <si>
    <t>Serviços</t>
  </si>
  <si>
    <t>Botas para trilhas e caminhadas</t>
  </si>
  <si>
    <t>Software AutoCAD 2024 – Licença vitalícia</t>
  </si>
  <si>
    <t>Serviço de Engenharia</t>
  </si>
  <si>
    <t>Pilha alcalina AA</t>
  </si>
  <si>
    <t>Não contínuo</t>
  </si>
  <si>
    <t>Análise química de NPK - solo</t>
  </si>
  <si>
    <t>Confecção de carimbo</t>
  </si>
  <si>
    <t>Produto de limpeza</t>
  </si>
  <si>
    <t>Informática / Impressões e Locação de Equipamentos</t>
  </si>
  <si>
    <t>Escritório / Expediente</t>
  </si>
  <si>
    <t>Switch de rede 8 portas</t>
  </si>
  <si>
    <t>Mouse USB com fio</t>
  </si>
  <si>
    <t>Teclado ABNT-2 USB com fio</t>
  </si>
  <si>
    <t>KG</t>
  </si>
  <si>
    <t>Será necessária sua aquisição caso o único bebedouro queime.</t>
  </si>
  <si>
    <t>Instalação dos ares condicionados que estão em licitação.</t>
  </si>
  <si>
    <t>Uso de veículos da Secretaria.</t>
  </si>
  <si>
    <t>Divulgação de eventos ou ações realizadas</t>
  </si>
  <si>
    <t>Substituição emergencial, computadores muito defasados</t>
  </si>
  <si>
    <t>Substituição de monitores queimados</t>
  </si>
  <si>
    <t>Funcionamento da Secretaria</t>
  </si>
  <si>
    <t>Substituição de periféricos defasados ou estragados</t>
  </si>
  <si>
    <t>Necessários para a ligação dos novos computadores</t>
  </si>
  <si>
    <t>Elaboração de relatórios técnicos</t>
  </si>
  <si>
    <t>Realização de palestras, cursos, entre outros, na sede da Secretaria e para educação ambiental no Parque Ecológico do Taboão</t>
  </si>
  <si>
    <t>Cabo de rede</t>
  </si>
  <si>
    <t>M</t>
  </si>
  <si>
    <t>Cabos de rede para adequar a instalação às mesas</t>
  </si>
  <si>
    <t>Troca de equipamentos ultrapassados e adaptação da rede interna</t>
  </si>
  <si>
    <t>Elaboração de Plano Municipal</t>
  </si>
  <si>
    <t>Água mineral 20 L</t>
  </si>
  <si>
    <t>Galão 20 L para água</t>
  </si>
  <si>
    <t>Geladeira 260 L</t>
  </si>
  <si>
    <t>Micro-ondas 28 L</t>
  </si>
  <si>
    <t>Bebedouro de galão 20 L em coluna</t>
  </si>
  <si>
    <t>Glifosato concentrado solúvel galão 20 L</t>
  </si>
  <si>
    <t>Troca dos vitrôs do andar com fornecimento das esquadrias de alumínio e instalação</t>
  </si>
  <si>
    <t>Planta ornamental</t>
  </si>
  <si>
    <t>Cola em bastão 21 g</t>
  </si>
  <si>
    <t>Cola branca 90 g</t>
  </si>
  <si>
    <t>Álcool gel 70% 5 L</t>
  </si>
  <si>
    <t>Desinfetante floral 5 L</t>
  </si>
  <si>
    <t>Detergente 500 mL neutro</t>
  </si>
  <si>
    <t>Balde plástico 20 L</t>
  </si>
  <si>
    <t>Detergente 5 lL</t>
  </si>
  <si>
    <t>Sabão em pó 1 kg</t>
  </si>
  <si>
    <t>Lustra móveis 200 mL</t>
  </si>
  <si>
    <t>Desinfetante multiuso 500 mL</t>
  </si>
  <si>
    <t>Multiuso limpeza pesada 4 em 1  500 mL</t>
  </si>
  <si>
    <t>Sabão em barra 200 g</t>
  </si>
  <si>
    <t>Clips 3/0 500 g ou 400 unidades</t>
  </si>
  <si>
    <t>Elástico látex 100 g</t>
  </si>
  <si>
    <t>Corretivo líquido 18 mL</t>
  </si>
  <si>
    <t>Tinta para carimbo 40 mL cor preta</t>
  </si>
  <si>
    <t>Cera líquida incolor frasco 850 mL</t>
  </si>
  <si>
    <t>Copo descartável 180 mL com 100 unidades</t>
  </si>
  <si>
    <t>Porta-copos de 150 e 200 mL 100 copos</t>
  </si>
  <si>
    <t>Copo descartável 50 mL com 100 unidades</t>
  </si>
  <si>
    <t>Inseticida de aerosol 500 mL</t>
  </si>
  <si>
    <t>Paisagismo</t>
  </si>
  <si>
    <t>Usina de valorização de Resíduos da Construção Civil</t>
  </si>
  <si>
    <t xml:space="preserve">GALAO </t>
  </si>
  <si>
    <t xml:space="preserve">MATERIAL </t>
  </si>
  <si>
    <t>MEDIO</t>
  </si>
  <si>
    <t>SECRETARIA DE ADMINISTRAÇAO</t>
  </si>
  <si>
    <t>ALCOOL ETILICO 92,8% 1LITRO</t>
  </si>
  <si>
    <t>CONTINUO</t>
  </si>
  <si>
    <t xml:space="preserve">CONTINUO </t>
  </si>
  <si>
    <t xml:space="preserve">LIMPEZA </t>
  </si>
  <si>
    <t>ALCOOL GEL 70% 5L</t>
  </si>
  <si>
    <t>BALDE PLASTICO 20LT</t>
  </si>
  <si>
    <t>CESTO PLASTICO PARA LIXO FECHADO/TELADO</t>
  </si>
  <si>
    <t xml:space="preserve">UNIDADE </t>
  </si>
  <si>
    <t>COPO DESCARTAVEL 180 ML C/ 100 UNIDADE</t>
  </si>
  <si>
    <t xml:space="preserve">FITAS </t>
  </si>
  <si>
    <t xml:space="preserve">COPA DESCARTAVEL 50 ML C/100 UNIDADE </t>
  </si>
  <si>
    <t xml:space="preserve">DESINFETANTE FLORAL 5 LT </t>
  </si>
  <si>
    <t xml:space="preserve">DETERGENTE 500 ML NEUTRO  </t>
  </si>
  <si>
    <t xml:space="preserve">ESPONJA DE LIMPEZA DUPLA FACE </t>
  </si>
  <si>
    <t xml:space="preserve">FLANELA PARA LIMPEZA 30 CM X 40 CM PACOTE  COM 12 UNIDADE </t>
  </si>
  <si>
    <t xml:space="preserve">PACOTE </t>
  </si>
  <si>
    <t xml:space="preserve">LUVA DE BORRACHA G PACOTE C/12 PARES </t>
  </si>
  <si>
    <t xml:space="preserve">LUVA DE BORRACHA M PACOTE C/12 PARES </t>
  </si>
  <si>
    <t>MATERIAL</t>
  </si>
  <si>
    <t xml:space="preserve">PANO DE CAO ALVEJADO </t>
  </si>
  <si>
    <t>PANO DE PRATOALVEJADO</t>
  </si>
  <si>
    <t>PAPEL HIGIENICO FARDO COM 64 ROLO</t>
  </si>
  <si>
    <t>PAPEL TOALHA INTERFOLHAS BRANCO, C/1000 FOLHAS</t>
  </si>
  <si>
    <t xml:space="preserve">PEDRA SANITARIA CX C/1 UNIDADE </t>
  </si>
  <si>
    <t>ALTO</t>
  </si>
  <si>
    <t>SABAO EM BARRA C/ 5 UNIDADE</t>
  </si>
  <si>
    <t>SABONETE LIQUIDO 5 LITROS</t>
  </si>
  <si>
    <t xml:space="preserve">SACO PARA LIXO PRETO 70 LITROS FARDO C/100 UNIDADE </t>
  </si>
  <si>
    <t>SACO PARA LIXO PRETO 30 LITROS FARDO C/ 100 UNIDADE</t>
  </si>
  <si>
    <t xml:space="preserve">VASSOURA DE PELO 30 CM </t>
  </si>
  <si>
    <t xml:space="preserve">VASSOURA DE PIASSAVA 30 CM </t>
  </si>
  <si>
    <t>AÇUCAR REFINADO PACOTE C/ 1 KG</t>
  </si>
  <si>
    <t>GENEROS ALIMENTICIOS</t>
  </si>
  <si>
    <t>PO DE CAFÉ 500 GRAMA</t>
  </si>
  <si>
    <t xml:space="preserve">MARGARINA POTE DE 500 GRAMA </t>
  </si>
  <si>
    <t xml:space="preserve">AGUA MINERAL-GALAO 20 LITROS </t>
  </si>
  <si>
    <t>CONSUMO</t>
  </si>
  <si>
    <t>BOTIJAO DE GAS RETORNAVEL 13KG</t>
  </si>
  <si>
    <t>BOTIJAO DE GAS RETORNAVEL 45KG</t>
  </si>
  <si>
    <t>CAPA DE PROCESSO TIMBRADA ( VARIAS CORES)</t>
  </si>
  <si>
    <t>SERVIÇO</t>
  </si>
  <si>
    <t>NÃO CONTINUO</t>
  </si>
  <si>
    <t>GRAFICO</t>
  </si>
  <si>
    <t>ENVELOPE BRANCO GRANDE TIMBRADO 260 X 360 MM</t>
  </si>
  <si>
    <t>BAIXO</t>
  </si>
  <si>
    <t>BARBANTE 100% ALGODAO CRU - 01 PACOTE 06 ROLOS C/ 84m.</t>
  </si>
  <si>
    <t>EXPEDIENTE</t>
  </si>
  <si>
    <t>CAIXA DE ARQUIVO MORTO DE POLIPROPILENO AZUL MEDIDA 140 X 360 X 260MM</t>
  </si>
  <si>
    <t xml:space="preserve">UNICADE </t>
  </si>
  <si>
    <t xml:space="preserve">EXPEDIENTE </t>
  </si>
  <si>
    <t xml:space="preserve">CANETA ESFEROGRAFICA DA COR PRETA,VERMELHA  E AZUL CX C/50 UNIDADE </t>
  </si>
  <si>
    <t xml:space="preserve">CLIPS 3/0 500 GR </t>
  </si>
  <si>
    <t>COLA BRANCA 90 GR LAVAVEL</t>
  </si>
  <si>
    <t>COLA EM BASTAO 21 GR</t>
  </si>
  <si>
    <t>CORRETIVO EM FITA LARGURA 5,0MM COMPRIMENTO 8MT</t>
  </si>
  <si>
    <t>ELASTICO LATEX 100GR</t>
  </si>
  <si>
    <t>ENVELOPE PARDO 240 X 340MM</t>
  </si>
  <si>
    <t>ESTILETE LARDO COM CABO EM POLIPROPILENO LAMINA DE AÇO DE 9 CM CABORNO TRAVA AUTOMATICA</t>
  </si>
  <si>
    <t>EXTRATOR DE GRAMPO (ESPATULA)</t>
  </si>
  <si>
    <t>FITA ADESIVA PARA EMPACOTAMENTO 45 MM X 50M TRANSPARENTE EM FILME DE POLIPROPILENO BIORENTADO COLA ACRILICA</t>
  </si>
  <si>
    <t>GRAMPEADOR MEDIO COM BASE DE 20CM PARA GRAMPO26/6 ATE 30 FOLHAS</t>
  </si>
  <si>
    <t xml:space="preserve">GRAMPO PARA GRAMPIADOR 26/6 CX COM 5000 UNIDADE </t>
  </si>
  <si>
    <t>GRAMPO TRILHO DE METAL COM 50 UNIDADES</t>
  </si>
  <si>
    <t xml:space="preserve">LAPIS PRETO GRAFITE CAIXA C/144 UNIDADE </t>
  </si>
  <si>
    <t>LIVRO ATA 205 x 300 mm C/100 FOLHAS NUMERADAS</t>
  </si>
  <si>
    <t>LIVRO DE PROTOCOLO COM 100 FOLHAS FORMATO 215MM X 315MM CAPA/CONTRA CAPA PAPELAO 770GRS REVESTIDO DE PAPEL 90GRS PLASTIFICADO</t>
  </si>
  <si>
    <t>LIVRO DE PROTOCOLO DE CORRESPONDENCIA C/104 FOLHAS 154 X216MM</t>
  </si>
  <si>
    <t xml:space="preserve">MARCADOR DE QUADRO BRNCO </t>
  </si>
  <si>
    <t>PAPEL SULFITE A4 RESMAS C/500 75G/M2 210MM X 297MM</t>
  </si>
  <si>
    <t>RESMA</t>
  </si>
  <si>
    <t>PASTA REGISTRADORA AZ LOMBO LARGO (8X34X28CM)</t>
  </si>
  <si>
    <t>PASTA REGISTRADORA AZ LOMBO MEDIO (4X34X28CM)</t>
  </si>
  <si>
    <t xml:space="preserve">PERFURADOR DE PAPEL COM 2 FUROS PARA 60 FOLHAS </t>
  </si>
  <si>
    <t xml:space="preserve">REGUA PLASTICA 30 CM </t>
  </si>
  <si>
    <t>TESOURA GRANDE  EM AÇO INOX MEDINDO 21CM CABO EM POLIPROPILENO C/REBITE LAMINA AÇO C/ PONTA PONTIAGUDA</t>
  </si>
  <si>
    <t>CD - RW 700MB</t>
  </si>
  <si>
    <t>PEN DRIVE 16 GB</t>
  </si>
  <si>
    <t>AGUA SANITARIA GALAO 5L</t>
  </si>
  <si>
    <t xml:space="preserve">SACO PARA LIXO PRETO 110 LITROS FARDO C/100 UNIDADE </t>
  </si>
  <si>
    <t>não</t>
  </si>
  <si>
    <t>Contratação de serviços de vigilância eletronica para diversas secretarias</t>
  </si>
  <si>
    <t>Continuo</t>
  </si>
  <si>
    <t>Monitoramento</t>
  </si>
  <si>
    <t>PP 41/2021 - 22/12/2024</t>
  </si>
  <si>
    <t>SIM</t>
  </si>
  <si>
    <t>Contratação de serviço de internet mediante implantação de link de comunicação de dados</t>
  </si>
  <si>
    <t>Internet</t>
  </si>
  <si>
    <t>PP 73/2020  - 06/01/2024</t>
  </si>
  <si>
    <t>Manutenção e Serviço</t>
  </si>
  <si>
    <t>PP 05/2022 - 26/04/2022</t>
  </si>
  <si>
    <t>Prestação de serviços de instalação e manutenção de ar condicionado tipo split, de 7000 a 55000 BTUS, em diversas secretarias.</t>
  </si>
  <si>
    <t>Prestação de serviços de limpeza, asseio e conservação predial, com a disponiblização de mão de obra, saneantes domissanitários, materiais e equipamentos.</t>
  </si>
  <si>
    <t>PP 02/2019 - 01/03/2024</t>
  </si>
  <si>
    <t>Manutenção e Serviços de Limpeza</t>
  </si>
  <si>
    <t>Contratação de empresa especializada para realização das publicações dos atos oficiais e editais do Município de Lorena</t>
  </si>
  <si>
    <t>Publicidade</t>
  </si>
  <si>
    <t>Contrato nº 20/2021 -  04/05/2024</t>
  </si>
  <si>
    <t>Aluguel Arquivo Geral</t>
  </si>
  <si>
    <t>Locação de móvel</t>
  </si>
  <si>
    <t>Contrato nº 22/2021 -  18/05/2024</t>
  </si>
  <si>
    <t>Manutenção de Elevador para o modelo elétrico, do fabricante Villarta.</t>
  </si>
  <si>
    <t>PP 94/2018</t>
  </si>
  <si>
    <t>Descrição Sucinta</t>
  </si>
  <si>
    <t>Tipo de Item</t>
  </si>
  <si>
    <t xml:space="preserve">Quantidade de Itens </t>
  </si>
  <si>
    <t>Ramo de Atividade</t>
  </si>
  <si>
    <t xml:space="preserve">Data desejada do contrato ou aditivo </t>
  </si>
  <si>
    <t>Construção e manutenção</t>
  </si>
  <si>
    <t>Alta</t>
  </si>
  <si>
    <t>Sim - PC 650/2022</t>
  </si>
  <si>
    <t>Secretaria de Agricultura e Desenvolvimento Rural</t>
  </si>
  <si>
    <t xml:space="preserve">Produtos de limpezas </t>
  </si>
  <si>
    <t>Limpeza</t>
  </si>
  <si>
    <t xml:space="preserve">Não </t>
  </si>
  <si>
    <t xml:space="preserve">Alta </t>
  </si>
  <si>
    <t>Sim - PC 133/2022</t>
  </si>
  <si>
    <t>Rachão, Pedra Brita 1,2,3 e Areia</t>
  </si>
  <si>
    <t>Manutenção da Cidade</t>
  </si>
  <si>
    <t>Sim - PC 621/2022</t>
  </si>
  <si>
    <t>BGS, Bica Corrida e Pó de Pedra</t>
  </si>
  <si>
    <t>Sim - PC 304/2023</t>
  </si>
  <si>
    <t>Tubos de Concretos, Blocos</t>
  </si>
  <si>
    <t>Sim - PC 402/2022</t>
  </si>
  <si>
    <t>Materiais de Limpeza</t>
  </si>
  <si>
    <t>Sim - PC 514/2022</t>
  </si>
  <si>
    <t>Desengraxante, Limpa Baú</t>
  </si>
  <si>
    <t>Sim - PC 636/2022</t>
  </si>
  <si>
    <t>Emulsão Asfaltica</t>
  </si>
  <si>
    <t>LITROS</t>
  </si>
  <si>
    <t>R$189.000.00,00</t>
  </si>
  <si>
    <t>Sim - PC 423/2022</t>
  </si>
  <si>
    <t>Bateria de Carros, Máquinas e Caminhões</t>
  </si>
  <si>
    <t>Manutenção dos carros</t>
  </si>
  <si>
    <t>Sim - PC 364/2022</t>
  </si>
  <si>
    <t xml:space="preserve">Recauchutagem de pneus </t>
  </si>
  <si>
    <t>Reforma de Pneus</t>
  </si>
  <si>
    <t>Sim - PC 172/2023</t>
  </si>
  <si>
    <t>Manutenção dos diversos veículos e implementos</t>
  </si>
  <si>
    <t>Guincho, consertos e pneus e serviços nos carros</t>
  </si>
  <si>
    <t>Sim - PC 283/2020</t>
  </si>
  <si>
    <t>Peças de Veículos Diversos (Máquinas, Caminhões, Veículos de Passeio e Implementos)</t>
  </si>
  <si>
    <t>Peças</t>
  </si>
  <si>
    <t>Sim - PC 670</t>
  </si>
  <si>
    <t xml:space="preserve">Serviço de Aluguel de Máquinário </t>
  </si>
  <si>
    <t>Prestação de serviços de limpeza, manutenção e transporte de cascalhos nas vias públicas e estradas rurais do município, fornecendo maquinário com operadores e caminhões com motoristas</t>
  </si>
  <si>
    <t>Sim - PC 133/2023</t>
  </si>
  <si>
    <t>Serviços de hidrojato, autovacuo e vac-all com motorista e de microfilmagem e televisionamento de tubulação com operador</t>
  </si>
  <si>
    <t>Sim - PC 424/2022</t>
  </si>
  <si>
    <t>Materiais para Conserto de Roçadeiras</t>
  </si>
  <si>
    <t>Material para conserto e manutenção das roçadeiras</t>
  </si>
  <si>
    <t>Sim - PC 568/2022</t>
  </si>
  <si>
    <t>Materiais de EPI</t>
  </si>
  <si>
    <t>EPI p/ funcionarios</t>
  </si>
  <si>
    <t>Sim - PC 263/2022</t>
  </si>
  <si>
    <t>Uniformes</t>
  </si>
  <si>
    <t>Camisetas, calças e bones</t>
  </si>
  <si>
    <t>Sim - PC 612/2022</t>
  </si>
  <si>
    <t>Serviços de Telefonia</t>
  </si>
  <si>
    <t>Telefone fixo</t>
  </si>
  <si>
    <t>Sim - 512/2020</t>
  </si>
  <si>
    <t>Alarme</t>
  </si>
  <si>
    <t>Segurança</t>
  </si>
  <si>
    <t>Sim - PC 453/2020</t>
  </si>
  <si>
    <t>Café dos funcionarios</t>
  </si>
  <si>
    <t xml:space="preserve">Óleos e Lubrificantes </t>
  </si>
  <si>
    <t>Oleo p/ veiculos (manutenção)</t>
  </si>
  <si>
    <t>Materiais de Escritório</t>
  </si>
  <si>
    <t xml:space="preserve">Material p/ escritorios </t>
  </si>
  <si>
    <t>Sim - PC 228/2020</t>
  </si>
  <si>
    <t>Sim - PC 512/2020</t>
  </si>
  <si>
    <t>Computador Desktop acompanhando Windows atualizado, monitor, teclado, mouse e filtro de linha</t>
  </si>
  <si>
    <t>Média</t>
  </si>
  <si>
    <t>MTS</t>
  </si>
  <si>
    <t>Capacitação para os servidores da Secretaria de Agricultura e Desenvolvimento Rural</t>
  </si>
  <si>
    <t>Inscrição dos servidores para Eventos relacionados a área ambiental e Rural</t>
  </si>
  <si>
    <t>Sim - PC 578/2018</t>
  </si>
  <si>
    <t>Diesel Comum</t>
  </si>
  <si>
    <t>Diesel S10</t>
  </si>
  <si>
    <t>Pneus para veículos diversos, máquinas, caminhões e implementos</t>
  </si>
  <si>
    <t>Sim - PC 270/2023</t>
  </si>
  <si>
    <t>Sim - PC 668</t>
  </si>
  <si>
    <t>Projetor Multimídia</t>
  </si>
  <si>
    <t>Palestras e reuniões</t>
  </si>
  <si>
    <t>HD Externo</t>
  </si>
  <si>
    <t>Back up dos arquivos da secretaria</t>
  </si>
  <si>
    <t>Baixa</t>
  </si>
  <si>
    <t>Placas de Proibido Jogar Lixo para terrenos e Rotas Rurais</t>
  </si>
  <si>
    <t>Ar Condicionado 24.000 btu</t>
  </si>
  <si>
    <t>Material p/ escritorio</t>
  </si>
  <si>
    <t>Impressora/Scanner</t>
  </si>
  <si>
    <t>Agência de Publicidade</t>
  </si>
  <si>
    <t>Secretaria de Comunicação</t>
  </si>
  <si>
    <t>Locaweb: Serviço de acesso a e-mails de toda a Prefeitura</t>
  </si>
  <si>
    <t>Capacitação para os servidores da Secretaria de Comunicação</t>
  </si>
  <si>
    <t xml:space="preserve">Inscrição dos servidores para Eventos relacionados a área da Comunicação </t>
  </si>
  <si>
    <t>Pulpito</t>
  </si>
  <si>
    <t>Carro de som</t>
  </si>
  <si>
    <t>horas</t>
  </si>
  <si>
    <t>Divulgação</t>
  </si>
  <si>
    <t>Kit para três bandeiras: suporte de chão e mastros</t>
  </si>
  <si>
    <t>Garrafa de Água mineral 510 ml</t>
  </si>
  <si>
    <t>Fardo</t>
  </si>
  <si>
    <t>Copo de Água mineral 200 ml</t>
  </si>
  <si>
    <t>CX</t>
  </si>
  <si>
    <t>Veículo tipo furgão para transporte de equipamentos em eventos</t>
  </si>
  <si>
    <t>Confecção de Banner</t>
  </si>
  <si>
    <t xml:space="preserve">Confecção de Faixa </t>
  </si>
  <si>
    <t>Confecção de Placa em PVC com aplicação em adesivo colorido</t>
  </si>
  <si>
    <t>Confecção de Adesivo</t>
  </si>
  <si>
    <t>Envelope 162x229 A2 Royal</t>
  </si>
  <si>
    <t>Papel Fotográfio A4 180 GR</t>
  </si>
  <si>
    <t>Computador de Mesa completo</t>
  </si>
  <si>
    <t>Cadeira de escritório anatômica norma NR 17</t>
  </si>
  <si>
    <t>Pincel quadro branco preto</t>
  </si>
  <si>
    <t>Pincel quadro branco cor vermelha</t>
  </si>
  <si>
    <t>Aluguel de sonorização e iluminação Porte pequeno</t>
  </si>
  <si>
    <t xml:space="preserve">Eventos </t>
  </si>
  <si>
    <t>Secretaria de Cultura</t>
  </si>
  <si>
    <t>Aluguel de sonorização e iluminação Porte Médio</t>
  </si>
  <si>
    <t>Aluguel de sonorização e iluminação Porte Grande</t>
  </si>
  <si>
    <t>Aluguel de tenda 4x4</t>
  </si>
  <si>
    <t>Aluguel de tenda 6x6</t>
  </si>
  <si>
    <t>Aluguel de tenda 8x8</t>
  </si>
  <si>
    <t>Aluguel de Camarim 4x4</t>
  </si>
  <si>
    <t>Aluguel de Camarote</t>
  </si>
  <si>
    <t>Aluguel de Painel Led</t>
  </si>
  <si>
    <t>Aluguel de Gradil</t>
  </si>
  <si>
    <t>Aluguel de Banheiro Quimico</t>
  </si>
  <si>
    <t>Aluguel de Banheiro Quimico PNE</t>
  </si>
  <si>
    <t>Aluguel de Palco 6mt x 4mt</t>
  </si>
  <si>
    <t>Aluguel de Palco 8mt x 6mt</t>
  </si>
  <si>
    <t>Aluguel de Gerador 180 kva</t>
  </si>
  <si>
    <t>Aluguel de Arquibancada</t>
  </si>
  <si>
    <t>Segurança Não armada</t>
  </si>
  <si>
    <t>UNIDADE/TURNO</t>
  </si>
  <si>
    <t>Controlador de acesso</t>
  </si>
  <si>
    <t>Brigadista</t>
  </si>
  <si>
    <t>Apresentação Banda P1</t>
  </si>
  <si>
    <t>APRESENTAÇÃO</t>
  </si>
  <si>
    <t>Apresentação Banda P2</t>
  </si>
  <si>
    <t>Apresentação Banda P3</t>
  </si>
  <si>
    <t>Apresentação Banda P4</t>
  </si>
  <si>
    <t>Apresentação Barzinho</t>
  </si>
  <si>
    <t>Workshop e Oficina Cultural</t>
  </si>
  <si>
    <t>CURSO</t>
  </si>
  <si>
    <t>Qualificação</t>
  </si>
  <si>
    <t>Impressora Colorida Laser</t>
  </si>
  <si>
    <t>Sistema de Monitoramento Completo</t>
  </si>
  <si>
    <t>Água mineral copo caixa /48 uni</t>
  </si>
  <si>
    <t>Impressaão Monocromatica</t>
  </si>
  <si>
    <t>Agua mineral 500 ml - caixa 12 un</t>
  </si>
  <si>
    <t>Agua mineral 500 ml com gas - caixa 12 um</t>
  </si>
  <si>
    <t>Pão de Frios</t>
  </si>
  <si>
    <t>kg</t>
  </si>
  <si>
    <t>Suco de Fruta 1L</t>
  </si>
  <si>
    <t>Pão de queijo</t>
  </si>
  <si>
    <t>Pão de metro</t>
  </si>
  <si>
    <t>Bolo</t>
  </si>
  <si>
    <t>Samantha</t>
  </si>
  <si>
    <t>Pao de Leite</t>
  </si>
  <si>
    <t>Croassint</t>
  </si>
  <si>
    <t>Carolinas Recheadas</t>
  </si>
  <si>
    <t xml:space="preserve">Extintor </t>
  </si>
  <si>
    <t>Lixeira 100 litros</t>
  </si>
  <si>
    <t xml:space="preserve">Enceradeira </t>
  </si>
  <si>
    <t>Ar condicionado poartatil</t>
  </si>
  <si>
    <t>Açucar</t>
  </si>
  <si>
    <t>Esfregão Giratorio</t>
  </si>
  <si>
    <t>limpeza</t>
  </si>
  <si>
    <t>Roçadeira Multifuncional</t>
  </si>
  <si>
    <t>Soprador</t>
  </si>
  <si>
    <t>Maquina Lavadora Pressão</t>
  </si>
  <si>
    <t>alto</t>
  </si>
  <si>
    <t>Estante de aço medindo 198x92x40 possuindo 6 bandejas com reforço central e três dobras laterais para livraria</t>
  </si>
  <si>
    <t>Rodo plástico com cabo 30 cm cabo alongado</t>
  </si>
  <si>
    <t>Quantidade de Itens</t>
  </si>
  <si>
    <t>Água</t>
  </si>
  <si>
    <t>Fardos 510 ml</t>
  </si>
  <si>
    <t>Secretaria de Desenvolvimento Economico</t>
  </si>
  <si>
    <t>Galões 20 L</t>
  </si>
  <si>
    <t>Papel Sulfite</t>
  </si>
  <si>
    <t>Caixas</t>
  </si>
  <si>
    <t>Papelaria</t>
  </si>
  <si>
    <t>Café</t>
  </si>
  <si>
    <t>Pacotes</t>
  </si>
  <si>
    <t>Supermercado</t>
  </si>
  <si>
    <t>Micro Computadores Completos</t>
  </si>
  <si>
    <t>Unidades</t>
  </si>
  <si>
    <t>Informatica</t>
  </si>
  <si>
    <t>Filtros de Agua</t>
  </si>
  <si>
    <t>Eletrodomestico</t>
  </si>
  <si>
    <t>Arquivos com Gaveta</t>
  </si>
  <si>
    <t>Escritório</t>
  </si>
  <si>
    <t xml:space="preserve">Armarios </t>
  </si>
  <si>
    <t xml:space="preserve">Televisão </t>
  </si>
  <si>
    <t>Eletronico</t>
  </si>
  <si>
    <t>Retroprojetores 4500 Lumens</t>
  </si>
  <si>
    <t>Frigobar</t>
  </si>
  <si>
    <t>Funcionários Milclean</t>
  </si>
  <si>
    <t>Pessoas</t>
  </si>
  <si>
    <t>Impressoras Scaners</t>
  </si>
  <si>
    <t>Aguá Sanitária 1 Litro</t>
  </si>
  <si>
    <t>Agua Sanitária 5 Litros</t>
  </si>
  <si>
    <t>Alcool Etilico 92,8%</t>
  </si>
  <si>
    <t>Alcool Gel 70%</t>
  </si>
  <si>
    <t>Balde Plastico 20 Litros</t>
  </si>
  <si>
    <t>Cera Liquida Incolor 850 ml</t>
  </si>
  <si>
    <t>Cera Liquida verde 850 ml</t>
  </si>
  <si>
    <t>Cera Liquida Vermelha 850 ml</t>
  </si>
  <si>
    <t>Copo descartavel 180 ml</t>
  </si>
  <si>
    <t>Copo descartavel 50 ml</t>
  </si>
  <si>
    <t>Desinfetante 5 Litros</t>
  </si>
  <si>
    <t xml:space="preserve">Desinfetante Floral 5 Litros </t>
  </si>
  <si>
    <t>Desinfetante Multiuso Limpesa Pesada 500 ml</t>
  </si>
  <si>
    <t>Detergente Neutro 500 ml</t>
  </si>
  <si>
    <t>Detergente 5 Litros</t>
  </si>
  <si>
    <t xml:space="preserve">Escova de Nylon Oval </t>
  </si>
  <si>
    <t>unidades</t>
  </si>
  <si>
    <t>Espanador</t>
  </si>
  <si>
    <t>Esponja de aço com 8 unidades</t>
  </si>
  <si>
    <t>Esponja de Limpeza Dupla Face</t>
  </si>
  <si>
    <t>Flanela para limpeza com 12 unidades</t>
  </si>
  <si>
    <t>Caixa de fosforo 10 caixas com 40 palitos</t>
  </si>
  <si>
    <t>Lustra Móveis</t>
  </si>
  <si>
    <t>Luva de Borracha forrada G</t>
  </si>
  <si>
    <t>Luva Latex Forrada tamanho M</t>
  </si>
  <si>
    <t>Mangueira de Jardim com adaptador 50 Metros</t>
  </si>
  <si>
    <t>Mop Umido 340 Grs</t>
  </si>
  <si>
    <t xml:space="preserve">Pá Coletora com tampa e vassoura </t>
  </si>
  <si>
    <t xml:space="preserve">Pá de Lixo </t>
  </si>
  <si>
    <t>Pá de lixo plastica com cabo longo</t>
  </si>
  <si>
    <t>Pano Multiuso pacote com 5 unidades</t>
  </si>
  <si>
    <t>Pano de Prato alvejado</t>
  </si>
  <si>
    <t>Pano Microfibra uso geral verde</t>
  </si>
  <si>
    <t xml:space="preserve">Papel Higienico </t>
  </si>
  <si>
    <t>Papel Toalha interfolhas Branco Pacote 1000 folhas</t>
  </si>
  <si>
    <t>Pedra Sanitaria</t>
  </si>
  <si>
    <t xml:space="preserve">rodo de cabo 40 cm </t>
  </si>
  <si>
    <t xml:space="preserve">rodo de cabo 60 cm </t>
  </si>
  <si>
    <t>rodo de madeira simples 30 cm</t>
  </si>
  <si>
    <t>Rodo de pia</t>
  </si>
  <si>
    <t>Vassoura Pelo 60 cm com cabo</t>
  </si>
  <si>
    <t>Vassoura Lavatina de Piaçava</t>
  </si>
  <si>
    <t>Lixeira de Aço com tampa basculante 20 Litros</t>
  </si>
  <si>
    <t>Lixeira de Aço com pedal 50 Litros</t>
  </si>
  <si>
    <t>Livro Ata 100 fls numeradas</t>
  </si>
  <si>
    <t>Livro de protocolo de correspondencia 104 folhas</t>
  </si>
  <si>
    <t>Caderno Brochurao capa dura 96 folhas</t>
  </si>
  <si>
    <t>Caderno capa dura pequeno pautado com margem</t>
  </si>
  <si>
    <t>Caderno de desenho espiral 96 fls</t>
  </si>
  <si>
    <t>Caderno universitario espiral 10 materias</t>
  </si>
  <si>
    <t>Apontador com deposito</t>
  </si>
  <si>
    <t xml:space="preserve">Cola Bastão </t>
  </si>
  <si>
    <t xml:space="preserve">Cola Branca 90g </t>
  </si>
  <si>
    <t>Perfurador de Papel para 20 Folhas</t>
  </si>
  <si>
    <t>Perfurador de Papel para 40 Folhas</t>
  </si>
  <si>
    <t>Perfurador de papel para 80 folhas</t>
  </si>
  <si>
    <t>Perfurador de papel para 100 folhas</t>
  </si>
  <si>
    <t>Regua Plastica 30 cm</t>
  </si>
  <si>
    <t>Regua Plastica 50 cm</t>
  </si>
  <si>
    <t>Tesoura Multiuso</t>
  </si>
  <si>
    <t>Tinta para Carimbo Preta 40ml</t>
  </si>
  <si>
    <t>Tinta para Carimbo Azul 40ml</t>
  </si>
  <si>
    <t>Tinta para Carimbo Vermelha 40ml</t>
  </si>
  <si>
    <t>Carimbos diversos</t>
  </si>
  <si>
    <t>Material/Serviço</t>
  </si>
  <si>
    <t>Apagador para quadro branco</t>
  </si>
  <si>
    <t>Bloco adesivo amarelo emb. 4</t>
  </si>
  <si>
    <t>embalagem</t>
  </si>
  <si>
    <t>Bloco adesivo Neon sortidos emb. 4</t>
  </si>
  <si>
    <t>Calculadora Grande de mesa</t>
  </si>
  <si>
    <t>Envelope saco plastico 4 furos A4 caixa 600un</t>
  </si>
  <si>
    <t>Caixa</t>
  </si>
  <si>
    <t>Envelope Branco 25 x 35</t>
  </si>
  <si>
    <t>caixa</t>
  </si>
  <si>
    <t>Envelope Oficio Cor natural  75g</t>
  </si>
  <si>
    <t>Envelope pardo  162x229mm</t>
  </si>
  <si>
    <t>Envelope pardo  240x340mm</t>
  </si>
  <si>
    <t>Etiqueta Branca tamanho A4 250 caixa com 250</t>
  </si>
  <si>
    <t>Etiqueta Branca tamanho A4256 caixa com 825</t>
  </si>
  <si>
    <t>Etiqueta INK-JET/LASER Carta 215,9 x 279,4 Caixa com 25 unidades</t>
  </si>
  <si>
    <t>Quadro Branco Com moldura de aluminio</t>
  </si>
  <si>
    <t>Almofada para carimbo nº2 cor preta</t>
  </si>
  <si>
    <t>Almofada para carimbo nº2 cor azul</t>
  </si>
  <si>
    <t>Almofada para carimbo nº 2 Vermelha</t>
  </si>
  <si>
    <t>Almofada para Carimbo nº 3 cor preta</t>
  </si>
  <si>
    <t>Almofada para Carimbo nº 3 cor vermelha</t>
  </si>
  <si>
    <t>Almofada para carimbo n°3 Cor Azul</t>
  </si>
  <si>
    <t>Clips 2/0 cx com 100</t>
  </si>
  <si>
    <t>Clips 3/0  500 g</t>
  </si>
  <si>
    <t>Clips 6/0 cx com 50</t>
  </si>
  <si>
    <t>Clips Galvanizados 8/0</t>
  </si>
  <si>
    <t>Elastico Latex 1 kg</t>
  </si>
  <si>
    <t>Etiqueta autoadesiva  cx 100 folhas  com 1000 etiquetas  55,8x99,00mm A4350 Branca cx 1000</t>
  </si>
  <si>
    <t xml:space="preserve">Extrator de Grampo Espatula </t>
  </si>
  <si>
    <t>Grampeador Grande base de 28cm</t>
  </si>
  <si>
    <t>Grampeador Medio com base de 20 cm</t>
  </si>
  <si>
    <t>Grampo para grampeador  23/10</t>
  </si>
  <si>
    <t>Grampo para grampeador  23/13</t>
  </si>
  <si>
    <t>Grampo Para grampeador 26/6</t>
  </si>
  <si>
    <t>Grampo Trilho</t>
  </si>
  <si>
    <t>Pen drive 128GB</t>
  </si>
  <si>
    <t xml:space="preserve">Porta durex pequeno </t>
  </si>
  <si>
    <t>Porta durex grande</t>
  </si>
  <si>
    <t>Organizador porta caneta de metal</t>
  </si>
  <si>
    <t xml:space="preserve">Mouse Pad Ergonomico </t>
  </si>
  <si>
    <t xml:space="preserve">Pasta Plastica escolar </t>
  </si>
  <si>
    <t xml:space="preserve">Pasta Cartolina grampo trilho oficio </t>
  </si>
  <si>
    <t>Pasta Oficio Aba Plastica com elastico 18mm</t>
  </si>
  <si>
    <t>Pasta Oficio Aba Plastica com elastico 30mm</t>
  </si>
  <si>
    <t>Pasta Oficio Aba Plastica com elastico 55mm</t>
  </si>
  <si>
    <t>Pasta em L</t>
  </si>
  <si>
    <t>Pasta Registradora AZ Lombo largo</t>
  </si>
  <si>
    <t>Pasta Registradora AZ Lombo Medio</t>
  </si>
  <si>
    <t>Pasta suspensa - Kraft com haste</t>
  </si>
  <si>
    <t>Pasta Sanfonada A4</t>
  </si>
  <si>
    <t>Borracha com capa plastica ergonomica não toxica</t>
  </si>
  <si>
    <t>Borracha Macia Retangular</t>
  </si>
  <si>
    <t>Caneta esferografica Azul</t>
  </si>
  <si>
    <t>Caneta esferografica Preta</t>
  </si>
  <si>
    <t>Caneta esferografica Vermelha</t>
  </si>
  <si>
    <t>Caneta Marca Texto Amarela</t>
  </si>
  <si>
    <t>Caneta Marca Texto Azul</t>
  </si>
  <si>
    <t>Caneta Marca Texto Laranja</t>
  </si>
  <si>
    <t>Caneta Marca Texto Rosa</t>
  </si>
  <si>
    <t>Caneta Marca Texto Verde</t>
  </si>
  <si>
    <t>Caneta para Retroprojetor</t>
  </si>
  <si>
    <t>Pincel para quadro Branco preto</t>
  </si>
  <si>
    <t xml:space="preserve">Pincel para quadro Branco Azul </t>
  </si>
  <si>
    <t>Pincel para quadro Branco Amarelo</t>
  </si>
  <si>
    <t>Pincel atomico preto</t>
  </si>
  <si>
    <t>Pincel atomico azul</t>
  </si>
  <si>
    <t>pincel atomico vermelho</t>
  </si>
  <si>
    <t>Corretivo liquido</t>
  </si>
  <si>
    <t>Corretivo Fita</t>
  </si>
  <si>
    <t>Fita Adesiva transparente 45mmx50m</t>
  </si>
  <si>
    <t>Fita Adesiva transparente 18mmx50 m</t>
  </si>
  <si>
    <t>Fita adesiva transparente 12mmx45m</t>
  </si>
  <si>
    <t>Fita Crepe 18mmx50m</t>
  </si>
  <si>
    <t>Fita Crepe 25mmx 50m</t>
  </si>
  <si>
    <t>Fita Dupla face 18mmx50 m</t>
  </si>
  <si>
    <t>Gasolina</t>
  </si>
  <si>
    <t>Litros</t>
  </si>
  <si>
    <t>Combustivel</t>
  </si>
  <si>
    <t>Veiculo Automotor</t>
  </si>
  <si>
    <t>Automovel</t>
  </si>
  <si>
    <t>Valor unitário</t>
  </si>
  <si>
    <t>Caneta esferográfica na cor azul</t>
  </si>
  <si>
    <t>expediente</t>
  </si>
  <si>
    <t>unidade</t>
  </si>
  <si>
    <t>Administrativo</t>
  </si>
  <si>
    <t>NÃO</t>
  </si>
  <si>
    <t>Secretaria dos Direitos da Pessoa com Deficiência</t>
  </si>
  <si>
    <t>Caneta esferográfica na cor vermelha</t>
  </si>
  <si>
    <t>Caneta esferográfica na cor preta</t>
  </si>
  <si>
    <t>Caneta Marca texto - amarelo</t>
  </si>
  <si>
    <t>Caneta Marca texto - laranja</t>
  </si>
  <si>
    <t>Caneta marca Texto - Rosa</t>
  </si>
  <si>
    <t>resma</t>
  </si>
  <si>
    <t>Caneta Marcador de Quadro Branco - azul</t>
  </si>
  <si>
    <t>Caneta Marcador de Quadro Branco - vermelha</t>
  </si>
  <si>
    <t>Caneta Marcador de Quadro Branco - preta</t>
  </si>
  <si>
    <t>Lápis Nº 02</t>
  </si>
  <si>
    <t>Papel sulfite A4 (pacote com 500 folhas)</t>
  </si>
  <si>
    <t>CLIPS 3/0 (caixa com 440 unidades)</t>
  </si>
  <si>
    <t>Grampos Galvanizados 26/6 ( caixa com 5.000)</t>
  </si>
  <si>
    <t>Grampos  Galvanizados 23/10 ( caixa com 5.000)</t>
  </si>
  <si>
    <t>Grampo Trilho (caixa com 50 unidades)</t>
  </si>
  <si>
    <t>Cola Bastão 40g</t>
  </si>
  <si>
    <t>Cola líquida 90g</t>
  </si>
  <si>
    <t>Fita embalagem transparente 48 mm x 100 m</t>
  </si>
  <si>
    <t>Fita adesiva transparente  12 mm x 65 m</t>
  </si>
  <si>
    <t>Envelope ofício A4  pardo</t>
  </si>
  <si>
    <t xml:space="preserve">Envelope Ofício A4 cor Branco com timbre da Prefeitura </t>
  </si>
  <si>
    <t xml:space="preserve">Barbante ecológico 8 fios cor cru </t>
  </si>
  <si>
    <t xml:space="preserve">Caixa para arquivo morto ofício na cor azul </t>
  </si>
  <si>
    <t>Extrator de Grampo prata</t>
  </si>
  <si>
    <t>Estilete  ES 218</t>
  </si>
  <si>
    <t xml:space="preserve">Fita Corretiva 10 X 5 mm </t>
  </si>
  <si>
    <t xml:space="preserve">Furador de Metal 2 furos para 20 folhas </t>
  </si>
  <si>
    <t>Grampeador (grampo galvanizados 26/6) de 25 a 50 folhas</t>
  </si>
  <si>
    <t>Caderno de protocolo para correspondência 104 folhas 154x 216 mm 1/4</t>
  </si>
  <si>
    <t>Prancheta plástica ofício preta com gancho de metal para papel sulfite A4</t>
  </si>
  <si>
    <t xml:space="preserve">Perfurador de papel ferro fundido para 60 folhas </t>
  </si>
  <si>
    <t>envelope carta ofício 11x 23  com timbre da Prefeitura branco</t>
  </si>
  <si>
    <t>Pasta Registradora de AZ Form. 350 mm X 280 mm x 55 mm na cor preta</t>
  </si>
  <si>
    <t xml:space="preserve">kit 4 blocos Adesivos Post-it bloco com 100 unidades de folhas 76 x 76 mm em cada bloco diversas cores </t>
  </si>
  <si>
    <t>kit</t>
  </si>
  <si>
    <t xml:space="preserve">borracha branca com capa vermelha </t>
  </si>
  <si>
    <t>Fita adesiva transparente  45 mm x 40 m</t>
  </si>
  <si>
    <t xml:space="preserve">material </t>
  </si>
  <si>
    <t>Garrafa Térmica Inox Slim 1,8L</t>
  </si>
  <si>
    <t xml:space="preserve">Cadeira de Escritório Esteirinha Base Cromada com Rodinha </t>
  </si>
  <si>
    <t>Mesa de escritório na cor cinza  com 02 gavetas</t>
  </si>
  <si>
    <t>material</t>
  </si>
  <si>
    <t>administrativo</t>
  </si>
  <si>
    <t>webcam para PC com microfone</t>
  </si>
  <si>
    <t xml:space="preserve">HD externo 1TB USB </t>
  </si>
  <si>
    <t>Pemanente</t>
  </si>
  <si>
    <t>Notebook com as especificações correlatas 1TB RAM 16 GB DDR5 + Pacote Office</t>
  </si>
  <si>
    <t>PC com as especificações correlatas Monitor 19" , teclado simples, mouse simples, HD 4 TB, Memória RAM 16 GB</t>
  </si>
  <si>
    <t>Estabilizador 500VA Black TS Shara</t>
  </si>
  <si>
    <t>Pen Drive Usb 3.0 De 2tb/ 2.000 Gigas</t>
  </si>
  <si>
    <t>Garrafa de água mineral 500 ml  sem gás</t>
  </si>
  <si>
    <t>consumo</t>
  </si>
  <si>
    <t>Galão de água mineral 20 litros  sem gás</t>
  </si>
  <si>
    <t>galão</t>
  </si>
  <si>
    <t>N°</t>
  </si>
  <si>
    <t>Qnt de Itens</t>
  </si>
  <si>
    <t>Un</t>
  </si>
  <si>
    <t>Valor Total Estimado</t>
  </si>
  <si>
    <t>Participação Recursos Externos</t>
  </si>
  <si>
    <t>Grau de Prioridade</t>
  </si>
  <si>
    <t>Data desejada do contrato ou Aditivo</t>
  </si>
  <si>
    <t>Renovação do Contrato</t>
  </si>
  <si>
    <t>N° processo de compra</t>
  </si>
  <si>
    <t>Instalação de ar condicionado 12.000 a 18.000 BTU</t>
  </si>
  <si>
    <t>SER</t>
  </si>
  <si>
    <t>Ar condicionado</t>
  </si>
  <si>
    <t>74/2022</t>
  </si>
  <si>
    <t>Secretaria de Educação</t>
  </si>
  <si>
    <t>Instalação de ar condicionado 18.000 a 30.000 BTU</t>
  </si>
  <si>
    <t>Instalação de ar condicionado acima de 30.000 BTU</t>
  </si>
  <si>
    <t>Limpeza completa de ar condicionado 7.000 a 30.000 BTU</t>
  </si>
  <si>
    <t>Limpeza e troca de gás de refrigeração ar condicionado 7.000 a 30.000 BTU</t>
  </si>
  <si>
    <t>Visita técnica, emissão de laudos, projetos e orientação de compra de equipamentos</t>
  </si>
  <si>
    <t>Gás de cozinha P13 botijão vazio</t>
  </si>
  <si>
    <t>BOT</t>
  </si>
  <si>
    <t>CAAPEL</t>
  </si>
  <si>
    <t>663/2022</t>
  </si>
  <si>
    <t>Manutenção e conservação de áreas verdes - CAAPEL (250m²)</t>
  </si>
  <si>
    <t>Carpina</t>
  </si>
  <si>
    <t>201/2023</t>
  </si>
  <si>
    <t>Manutenção e conservação de áreas verdes - Centro de Recursos Especiais - CRE (600m²)</t>
  </si>
  <si>
    <t>Manutenção e conservação de áreas verdes - CMEI Alice Campos de Olivas (907m²)</t>
  </si>
  <si>
    <t>Manutenção e conservação de áreas verdes - CMEI Dom João Hipólito de Moraes (1550m²)</t>
  </si>
  <si>
    <t>Manutenção e conservação de áreas verdes - CMEI Francisco Cândido Xavier (5462m²)</t>
  </si>
  <si>
    <t>Manutenção e conservação de áreas verdes - CMEI Irmã Irene Augusto (215m²)</t>
  </si>
  <si>
    <t>Manutenção e conservação de áreas verdes - CMEI Maria José Rodrigues Alves (230m²)</t>
  </si>
  <si>
    <t>Manutenção e conservação de áreas verdes - CMEI Miguel Rodrigues Ferreira (304m²)</t>
  </si>
  <si>
    <t>Manutenção e conservação de áreas verdes - CMEI Paulo Pereira dos Reis (777m²)</t>
  </si>
  <si>
    <t>Manutenção e conservação de áreas verdes - CMEI Professora Maria Nazareth Barbosa Marcondes (1250m²)</t>
  </si>
  <si>
    <t>Manutenção e conservação de áreas verdes - CMEI Professora Norma Paes Tavares de Andrade (200m²)</t>
  </si>
  <si>
    <t>Manutenção e conservação de áreas verdes - Creche – Santa Edwiges (1500m²)</t>
  </si>
  <si>
    <t>Manutenção e conservação de áreas verdes - Creche – Vila dos Comerciários II (175m²)</t>
  </si>
  <si>
    <t>Manutenção e conservação de áreas verdes - EM Belarmina Fernandes Borges (2862m²)</t>
  </si>
  <si>
    <t>Manutenção e conservação de áreas verdes - EM CAIC (1052m²)</t>
  </si>
  <si>
    <t>Manutenção e conservação de áreas verdes - EM Conde de Moreira Lima (1795m²)</t>
  </si>
  <si>
    <t>Manutenção e conservação de áreas verdes - EM Conde Moreira Lima (Prédio antigo)</t>
  </si>
  <si>
    <t>Manutenção e conservação de áreas verdes - EM Elizabeth Aparecida Pinto (1080m²)</t>
  </si>
  <si>
    <t>Manutenção e conservação de áreas verdes - EM Geraldo José Rodrigues Alckmin (2222m²)</t>
  </si>
  <si>
    <t>Manutenção e conservação de áreas verdes - EM Governador Mário Covas (2152m²)</t>
  </si>
  <si>
    <t>Manutenção e conservação de áreas verdes - EM Horácio Victor Bastos (697m²)</t>
  </si>
  <si>
    <t>Manutenção e conservação de áreas verdes - EM Ignês Cardoso Ferreira (1162m²)</t>
  </si>
  <si>
    <t>Manutenção e conservação de áreas verdes - EM João Justino Mota (893m²)</t>
  </si>
  <si>
    <t>Manutenção e conservação de áreas verdes - EM Padre João Renaudin de Ranville (3787m²)</t>
  </si>
  <si>
    <t>Manutenção e conservação de áreas verdes - EM Papa João Paulo I (210m²)</t>
  </si>
  <si>
    <t>Manutenção e conservação de áreas verdes - EM Presidente Jânio da Silva Quadros - CMEI Presidente Jânio da Silva Quadros (456m²)</t>
  </si>
  <si>
    <t>Manutenção e conservação de áreas verdes - EM Profª Etelvina de Aquino Marcondes (4490m²)</t>
  </si>
  <si>
    <t>Manutenção e conservação de áreas verdes - EM Professor Climério Galvão César (4623m²)</t>
  </si>
  <si>
    <t>Manutenção e conservação de áreas verdes - EM Professor Francisco Prudente de Aquino (649m²)</t>
  </si>
  <si>
    <t>Manutenção e conservação de áreas verdes - EM Professor Ruy Brasil Pereira (250m²)</t>
  </si>
  <si>
    <t>Manutenção e conservação de áreas verdes - EM Professora Adelina Alves Ferraz (169m²)</t>
  </si>
  <si>
    <t>Manutenção e conservação de áreas verdes - EM Professora Anna Pereira de Lacerda (126m²)</t>
  </si>
  <si>
    <t>Manutenção e conservação de áreas verdes - EM Professora Aparecida Machado Guedes de Oliveira (420m²)</t>
  </si>
  <si>
    <t>Manutenção e conservação de áreas verdes - EM Professora Carmelita Vieira de Oliveira Braga (123m²)</t>
  </si>
  <si>
    <t>Manutenção e conservação de áreas verdes - EM Professora Cyrene Leite de Almeida (186m²)</t>
  </si>
  <si>
    <t>Manutenção e conservação de áreas verdes - EM Professora Hermínia Figueira de Azevedo (370m²)</t>
  </si>
  <si>
    <t>Manutenção e conservação de áreas verdes - EM Professora Leda Maria Bilard de Carvalho (1026m²)</t>
  </si>
  <si>
    <t>Manutenção e conservação de áreas verdes - EM Professora Lúcia Maria Vilar Barbosa (987m²)</t>
  </si>
  <si>
    <t>Manutenção e conservação de áreas verdes - EM Professora Maria Antonieta Arantes Ferreira (2145m²)</t>
  </si>
  <si>
    <t>Manutenção e conservação de áreas verdes - EM Professora Maria José da Cunha Senne (144m²)</t>
  </si>
  <si>
    <t>Manutenção e conservação de áreas verdes - EM Professora Mônica Senne do Nascimento Silva (663m²)</t>
  </si>
  <si>
    <t>Manutenção e conservação de áreas verdes - EM Santa Edwiges (531m²)</t>
  </si>
  <si>
    <t>Manutenção e conservação de áreas verdes - EM Vovó Fiuta (320m²)</t>
  </si>
  <si>
    <t>Manutenção e conservação de áreas verdes - Escola Prof. Angelo Prudente de Aquino (492,5m²)</t>
  </si>
  <si>
    <t>Manutenção e conservação de áreas verdes - Milton Ballerini (2525m²)</t>
  </si>
  <si>
    <t>Açúcar refinado 1Kg</t>
  </si>
  <si>
    <t>UN</t>
  </si>
  <si>
    <t>Cozinha</t>
  </si>
  <si>
    <t>253/2023</t>
  </si>
  <si>
    <t>Botijão de gás retornável P13</t>
  </si>
  <si>
    <t>Pó de café 500gr</t>
  </si>
  <si>
    <t>PCT</t>
  </si>
  <si>
    <t>668/2023</t>
  </si>
  <si>
    <t>Arcos para ginástica rítmica</t>
  </si>
  <si>
    <t>Ed. Física</t>
  </si>
  <si>
    <r>
      <t xml:space="preserve">Aro de basquete com rede </t>
    </r>
    <r>
      <rPr>
        <sz val="7"/>
        <color theme="1"/>
        <rFont val="Arial"/>
        <family val="2"/>
      </rPr>
      <t>modelo duplo</t>
    </r>
  </si>
  <si>
    <t>Bambolê/Aro plástico</t>
  </si>
  <si>
    <t>Bola com guizo</t>
  </si>
  <si>
    <t>Bola de basquete</t>
  </si>
  <si>
    <t>Bola de futsal peso 350-380g</t>
  </si>
  <si>
    <t>Bola de futsal peso 400-440g</t>
  </si>
  <si>
    <t xml:space="preserve">Bola de handebol - Tamanho  2 </t>
  </si>
  <si>
    <t>Bola de handebol - Tamanho 1</t>
  </si>
  <si>
    <t>Bola de peso de atletismo para iniciação diâmetro: 100 mm</t>
  </si>
  <si>
    <t>Bola de tênis de campo</t>
  </si>
  <si>
    <t>Bola de tênis de mesa</t>
  </si>
  <si>
    <t>Bola de vôlei de quadra</t>
  </si>
  <si>
    <t xml:space="preserve">Bola ginástica ritmica silicone: 300g – 16 cm diâmetro </t>
  </si>
  <si>
    <t>Bola ginástica ritmica silicone: 340g – 20 cm diâmetro</t>
  </si>
  <si>
    <t>Bola para iniciação esportiva - Tam 10</t>
  </si>
  <si>
    <t>Bola para iniciação esportiva - Tam 12</t>
  </si>
  <si>
    <t xml:space="preserve">Centopeia/túnel </t>
  </si>
  <si>
    <t>Colchonete tamanho 90 x40x30cm</t>
  </si>
  <si>
    <t xml:space="preserve">Colete esportivo </t>
  </si>
  <si>
    <t>Cone médio – 20 cm</t>
  </si>
  <si>
    <t>Corda de sisal</t>
  </si>
  <si>
    <t>Cordas com fios de polipropileno maleável diâmetro 10mm</t>
  </si>
  <si>
    <t xml:space="preserve">Dardo com ponteira de borracha para atletismo </t>
  </si>
  <si>
    <t xml:space="preserve">Disco de atletismo para iniciação </t>
  </si>
  <si>
    <t xml:space="preserve">Disco de frisbee peso: 125 gr diâmetro: 23 cm </t>
  </si>
  <si>
    <t xml:space="preserve">Escada de agilidade </t>
  </si>
  <si>
    <t>Estiletes para ginástica rítmica fibra vidro 50 e 55cm</t>
  </si>
  <si>
    <t>Estiletes para ginástica rítmica PVC 88cm</t>
  </si>
  <si>
    <t>Fitas para ginástica rítmica cetim brilhante</t>
  </si>
  <si>
    <t>João teimoso</t>
  </si>
  <si>
    <t>Jogo de damas</t>
  </si>
  <si>
    <t>JG</t>
  </si>
  <si>
    <t>Jogo de xadrez tabuleiro em forma de estojo</t>
  </si>
  <si>
    <t>Kit com 100 bolinhas de cores diversas</t>
  </si>
  <si>
    <t>KIT</t>
  </si>
  <si>
    <t>Kit de jogo de bocha</t>
  </si>
  <si>
    <t xml:space="preserve">Kit de raquete e peteca para Badminton </t>
  </si>
  <si>
    <t>Kit slack line</t>
  </si>
  <si>
    <t>Luvas de bate-saco</t>
  </si>
  <si>
    <t xml:space="preserve">Maças ginástica rítmica PVC 37cm com 115g </t>
  </si>
  <si>
    <t>Maças ginástica rítmica PVC 45cm com 150g</t>
  </si>
  <si>
    <t>Maças ginástica rítmica PVC 78cm com 285g</t>
  </si>
  <si>
    <t>Mesa de futebol de botão</t>
  </si>
  <si>
    <t>Mesa de pembolim</t>
  </si>
  <si>
    <t>Mesa de tênis de mesa</t>
  </si>
  <si>
    <r>
      <t xml:space="preserve">Palhaço bocão </t>
    </r>
    <r>
      <rPr>
        <sz val="7"/>
        <color theme="1"/>
        <rFont val="Arial"/>
        <family val="2"/>
      </rPr>
      <t>confeccionado em MDF</t>
    </r>
  </si>
  <si>
    <t xml:space="preserve">Paraquedas lúdico colorido para recreação </t>
  </si>
  <si>
    <t>Placa com encaixe de montar em EVA 1x1m espessura: 10mm (Tatame)</t>
  </si>
  <si>
    <t>Placa com encaixe de montar em EVA 1x1m espessura: 20mm (Tatame)</t>
  </si>
  <si>
    <t>Prato demarcatório plástico flexível</t>
  </si>
  <si>
    <t>Raquete para Tênis</t>
  </si>
  <si>
    <t>Raquete para Tênis de mesa</t>
  </si>
  <si>
    <t>Rede para Badminton</t>
  </si>
  <si>
    <t xml:space="preserve">Rede para Futsal/Handebol </t>
  </si>
  <si>
    <t xml:space="preserve">Rede para tênis de mesa  </t>
  </si>
  <si>
    <t>Absorvente</t>
  </si>
  <si>
    <t>Escolar</t>
  </si>
  <si>
    <t>326/2023</t>
  </si>
  <si>
    <t>Algodão hidrófilo com 100% algodão, em bolas</t>
  </si>
  <si>
    <t>ROL</t>
  </si>
  <si>
    <t>Anilina liquido cores variadas, pote com 10ml</t>
  </si>
  <si>
    <t>455/2021</t>
  </si>
  <si>
    <t>Apontador aço inoxidável para lápis jumbo com depósito de plástico</t>
  </si>
  <si>
    <t>Apontador com depósito</t>
  </si>
  <si>
    <t>Argila escolar branca 1kg</t>
  </si>
  <si>
    <t>Bloco de folhas para dobradura 60 folhas</t>
  </si>
  <si>
    <t>Bloco vegetal liso A2 gramatura mínima 70g c/ 50 folhas</t>
  </si>
  <si>
    <t>Bobina de papel pardo de 1x200 metros</t>
  </si>
  <si>
    <t>Bobina Papel Kraft 0,6x150 metros</t>
  </si>
  <si>
    <t>Bola de isopor 100mm</t>
  </si>
  <si>
    <t>Bola de isopor 35mm</t>
  </si>
  <si>
    <t>Borracha branca escolar latex borracha branca escolar - latex tamanho 40</t>
  </si>
  <si>
    <t>Borracha c/ capa plástica, não tóxica, ergonômica.</t>
  </si>
  <si>
    <t>Borracha macia retangular, medindo 45x30x10 mm.</t>
  </si>
  <si>
    <t>Caderno brochurão costurado formato 200x275mm 48 folhas de caligrafia e 48 folhas de quadriculado</t>
  </si>
  <si>
    <t>Caderno brochurão, capa dura costurado 96 folhas formato: 200mm x 275 mm</t>
  </si>
  <si>
    <t>Caderno capa dura pequeno azul 1/4 96 folhas 140mm x 202mm (pautado e com margem)</t>
  </si>
  <si>
    <t>Caderno com pauta ampliada – Para baixa visão, formato 200x280mm</t>
  </si>
  <si>
    <t>Caderno de desenho espiral com 96 folhas - formato 27,5 x 20,0 cm</t>
  </si>
  <si>
    <t>Caderno meia pauta - 40 folhas - 275 x 200 mm - 63 mg²</t>
  </si>
  <si>
    <t>Caderno universitário (10 matérias), espiral, 200 folhas, pautado e com margem (tamanho 200mm X 275mm)</t>
  </si>
  <si>
    <t>Caderno universitário capa dura grande 96 1x1 (pautado com margem)</t>
  </si>
  <si>
    <t>Canetinha hidrográfica, estojo com 12 cores, ponta média</t>
  </si>
  <si>
    <t>ESTOJO</t>
  </si>
  <si>
    <t>Canetinha hidrográfica, estojo com 12 cores, tipo jumbo</t>
  </si>
  <si>
    <t>Cartolina cores Medida 48x66 - 180g</t>
  </si>
  <si>
    <t>Cola branca com 90g lavável</t>
  </si>
  <si>
    <t>Cola branca PVAC, lavável, atóxica – 1kg</t>
  </si>
  <si>
    <t>Cola colorida cx c/6 cores 23grs</t>
  </si>
  <si>
    <t>Cola em bastão 21 gr</t>
  </si>
  <si>
    <t>Cola em bastão lavável 23gr</t>
  </si>
  <si>
    <t>Cola liquida transparente 125 gr lavável</t>
  </si>
  <si>
    <t>TB</t>
  </si>
  <si>
    <t>Condicionador Infantil</t>
  </si>
  <si>
    <t>FRA</t>
  </si>
  <si>
    <t>Conjunto carimbos pedagógico, mínimo 6 un, para colorir com figuras animais da fazenda ou domésticos.</t>
  </si>
  <si>
    <t>CJ</t>
  </si>
  <si>
    <t>Conjunto carimbos pedagógico, mínimo 6 un, para colorir com figuras animais selvagens.</t>
  </si>
  <si>
    <t>Conjunto carimbos pedagógico, mínimo 6 un, para colorir com figuras diversas de frutas.</t>
  </si>
  <si>
    <t>Creme de Assadura com no mínimo 50g</t>
  </si>
  <si>
    <t>Curativo flexível transparente e antisséptico</t>
  </si>
  <si>
    <t>Diário de classe bimestral, padrão oficial atualizado, sendo 4 lâminas em papel sulfite 75 g/m2 no formato aberto 590x310 mm</t>
  </si>
  <si>
    <t>Escova Dental Infantil</t>
  </si>
  <si>
    <t>Estojo escolar, dupla face, retangular, com dimensões de 211mm (largura) x 75mm (profundidade) x 44mm (altura)</t>
  </si>
  <si>
    <t>Fita Microporosa em rolo de 25mmx10m</t>
  </si>
  <si>
    <t>Folha em eva 600x400x2mm, cor amarelo</t>
  </si>
  <si>
    <t>Folha em eva 600x400x2mm, cor azul</t>
  </si>
  <si>
    <t>Folha em eva 600x400x2mm, cor branca</t>
  </si>
  <si>
    <t>Folha em eva 600x400x2mm, cor laranja</t>
  </si>
  <si>
    <t>Folha em eva 600x400x2mm, cor lilás</t>
  </si>
  <si>
    <t>Folha em eva 600x400x2mm, cor marron</t>
  </si>
  <si>
    <t>Folha em eva 600x400x2mm, cor preta</t>
  </si>
  <si>
    <t>Folha em eva 600x400x2mm, cor rosa</t>
  </si>
  <si>
    <t>Folha em eva 600x400x2mm, cor verde</t>
  </si>
  <si>
    <t>Folha em eva 600x400x2mm, cor vermelho</t>
  </si>
  <si>
    <t>Folha em eva estampado – diferentes estampas 2mm 40x60cm</t>
  </si>
  <si>
    <t>Folha EVA com gliter, diversas cores</t>
  </si>
  <si>
    <t>un</t>
  </si>
  <si>
    <t>Fralda descartável para uso infantil: Tamanho G</t>
  </si>
  <si>
    <t>Fralda descartável para uso infantil: Tamanho M</t>
  </si>
  <si>
    <t>Fralda descartável para uso infantil: Tamanho P</t>
  </si>
  <si>
    <t>Fralda descartável para uso infantil: Tamanho XG</t>
  </si>
  <si>
    <t>Fralda descartável para uso infantil: Tamanho XGG</t>
  </si>
  <si>
    <t>Gel dental infantil sem fluor</t>
  </si>
  <si>
    <t>Giz de cera 12  cores 9mm  de  diâmetro</t>
  </si>
  <si>
    <t>Giz de cera 12 cores 14mm diâmetro</t>
  </si>
  <si>
    <t>Giz de cera jumbo – mínimo 06 cores</t>
  </si>
  <si>
    <t>Giz para quadro branco - caixa com 50 unidades</t>
  </si>
  <si>
    <t>Giz para quadro colorido - caixa com 50 unidades</t>
  </si>
  <si>
    <t>Gliter - pacote com 500 gramas - cores</t>
  </si>
  <si>
    <t>Kit geométrico: 1 esquadro de 45º, 1 esquadro de 60º, 1 transferidor de 360º, 1 régua de 30 cm</t>
  </si>
  <si>
    <t>Lápis de cor sextavado 12 cores</t>
  </si>
  <si>
    <t>Lapis de cor sextavado com 72 cores</t>
  </si>
  <si>
    <t xml:space="preserve">Lápis de cor triangular 12 cores jumbo </t>
  </si>
  <si>
    <t>Lápis grafite jumbo, graduação HB, formato triangular, com borracha</t>
  </si>
  <si>
    <t>Lápis grafite, graduação HB, formato sextavado, com borrachaCaixa com 144 unidades.</t>
  </si>
  <si>
    <t>Lenço Umedecido</t>
  </si>
  <si>
    <t>Lençol Descartável em papel em rolo medindo 70 cm de largura x 50 metros</t>
  </si>
  <si>
    <t>Livro plástico para banho para bebes, com figuras diversas</t>
  </si>
  <si>
    <t>Livro varal de letras e números</t>
  </si>
  <si>
    <t>Luva de Látex Ambidestra Tamanho G</t>
  </si>
  <si>
    <t>Luva de Látex Ambidestra Tamanho M</t>
  </si>
  <si>
    <t>Massa de modelar à base de amido caixa com 12 cores</t>
  </si>
  <si>
    <t>Papel camurça - 60X40cm - Diversas cores</t>
  </si>
  <si>
    <t>Papel canson A3 pacote com 20 folhas branca</t>
  </si>
  <si>
    <t>Papel cartão 48x66 240grs cores variadas</t>
  </si>
  <si>
    <t>Papel color set cores sortidas 48x66 120g/m²</t>
  </si>
  <si>
    <t>Papel crepon 0,48cm x 2m cor amarelo</t>
  </si>
  <si>
    <t>Papel crepon 0,48cm x 2m cor azul claro</t>
  </si>
  <si>
    <t>Papel crepon 0,48cm x 2m cor azul escuro</t>
  </si>
  <si>
    <t>Papel crepon 0,48cm x 2m cor branca</t>
  </si>
  <si>
    <t>Papel crepon 0,48cm x 2m cor laranja</t>
  </si>
  <si>
    <t>Papel crepon 0,48cm x 2m cor lilás</t>
  </si>
  <si>
    <t>Papel crepon 0,48cm x 2m cor marron</t>
  </si>
  <si>
    <t>Papel crepon 0,48cm x 2m cor pink</t>
  </si>
  <si>
    <t>Papel crepon 0,48cm x 2m cor preta</t>
  </si>
  <si>
    <t>Papel crepon 0,48cm x 2m cor rosa claro</t>
  </si>
  <si>
    <t>Papel crepon 0,48cm x 2m cor roxo</t>
  </si>
  <si>
    <t>Papel crepon 0,48cm x 2m cor verde claro</t>
  </si>
  <si>
    <t>Papel fotografico 120g - A4 - Caixa 20 folhas - brilhante</t>
  </si>
  <si>
    <t>Papel laminado - 48X60 cm - cores</t>
  </si>
  <si>
    <t>FOLHA</t>
  </si>
  <si>
    <t>Papel opaline branco A4 180 g/m - 50 fls</t>
  </si>
  <si>
    <t>Papel Seda 50X70cm - Diversas cores</t>
  </si>
  <si>
    <t>Papel sulfite A4 gramatura 120gr</t>
  </si>
  <si>
    <t>FL</t>
  </si>
  <si>
    <t>Papel sulfite branco A4 75g/m2 100 folhas</t>
  </si>
  <si>
    <t xml:space="preserve">Papel vegetal rolo 90gr. 1,10x20cm </t>
  </si>
  <si>
    <t>Pasta cartolina grampo trilho ofício (para o portfólio dos alunos) plástico</t>
  </si>
  <si>
    <t>Pasta plástica escolar, confeccionada em PVC cristal  transparente</t>
  </si>
  <si>
    <t>Perfurador decorativo - 16 mm - diversos padrões de desenho</t>
  </si>
  <si>
    <t>Perfurador decorativo - 25 mm - diversos padrões de desenho</t>
  </si>
  <si>
    <t>Perfurador decorativo - 45 mm - diversos padrões de desenho</t>
  </si>
  <si>
    <t>Pincel chato nº 10, cerdas naturais, cabo longo</t>
  </si>
  <si>
    <t>Pincel chato nº 16, cerdas naturais, cabo longo</t>
  </si>
  <si>
    <t>Pincel chato nº 4, cerdas naturais, cabo longo</t>
  </si>
  <si>
    <t>Pincel para quadro branco recarregável - cor azul - caixa com 12 unidades</t>
  </si>
  <si>
    <t>Pincel para quadro branco recarregável - cor preta - caixa com 12 unidades</t>
  </si>
  <si>
    <t>Pincel para quadro branco recarregável - cor vermelha - caixa com 12 unidades</t>
  </si>
  <si>
    <t>Placa de isopor 5mm</t>
  </si>
  <si>
    <t>Plástico em policloreto de vinila, cristal, flex com pó, espessura mínima 0,40mm, rolo de 140cmx30m</t>
  </si>
  <si>
    <t>Plástico para mesa rolo com 1,40 x 30m.</t>
  </si>
  <si>
    <t>Prancheta A3 portatil c/prendedor acrilico</t>
  </si>
  <si>
    <t>Quadro branco escolar - 350x120 cm</t>
  </si>
  <si>
    <t>Régua plástica 30 cm</t>
  </si>
  <si>
    <t>Rolinho de pintura pequeno</t>
  </si>
  <si>
    <t>Sabonete Líquido: Infantil</t>
  </si>
  <si>
    <t>Shampoo Infantil</t>
  </si>
  <si>
    <t>Soro fisiológico, solução de cloreto de sódio a 0,9%</t>
  </si>
  <si>
    <t>Tesoura escolar com ponta arredondada, medindo 12 cm de comprimento</t>
  </si>
  <si>
    <t>Tinta acrílica para artesanato 37 ml - cores</t>
  </si>
  <si>
    <t>FR</t>
  </si>
  <si>
    <t>Tinta aquarela c/ 12 cores</t>
  </si>
  <si>
    <t>Tinta facial extra macia – 10 cores sem gliter</t>
  </si>
  <si>
    <t>Tinta guache 12 cores 15ml</t>
  </si>
  <si>
    <t>Tinta guache 500ml - cores</t>
  </si>
  <si>
    <t>Tinta para recarga de caneta de quadro branco - cor azul</t>
  </si>
  <si>
    <t>Tinta para recarga de caneta de quadro branco - cor preta</t>
  </si>
  <si>
    <t>Tinta para recarga de caneta de quadro branco - cor vermelha</t>
  </si>
  <si>
    <t>TNT- cores  - 1,40x50metros</t>
  </si>
  <si>
    <t>Uinforme Camiseta manga curta</t>
  </si>
  <si>
    <t>480/2022</t>
  </si>
  <si>
    <t>Uniforme Bermuda</t>
  </si>
  <si>
    <t>Uniforme Calça</t>
  </si>
  <si>
    <t>Uniforme Camiseta manga longa</t>
  </si>
  <si>
    <t>Uniforme Jaqueta</t>
  </si>
  <si>
    <t>Uniforme Meia</t>
  </si>
  <si>
    <t>Uniforme Sacochila</t>
  </si>
  <si>
    <t>Uniforme Tênis fundamental</t>
  </si>
  <si>
    <t>Uniforme Tênis infantil</t>
  </si>
  <si>
    <t>Almofada para carimbo nº 02 cor azul</t>
  </si>
  <si>
    <t>Expediente</t>
  </si>
  <si>
    <t>Almofada para carimbo nº 02 cor preta</t>
  </si>
  <si>
    <t>Almofada para carimbo nº 02 cor vermelha</t>
  </si>
  <si>
    <t>Almofada para carimbo nº 03 cor azul</t>
  </si>
  <si>
    <t>Almofada para carimbo nº 03 cor preta</t>
  </si>
  <si>
    <t>Almofada para carimbo nº 03 cor vermelha</t>
  </si>
  <si>
    <t>Apagador quadro branco com base de plástico</t>
  </si>
  <si>
    <t>Barbante 100% algodão cru pacote com 06 rolos de 84m.</t>
  </si>
  <si>
    <t>Bastão de silicone para cola quente grossa</t>
  </si>
  <si>
    <t>Kg</t>
  </si>
  <si>
    <t>Bloco adesivo amarelo 100 folhas 76 x 102mm</t>
  </si>
  <si>
    <t xml:space="preserve">Bloco adesivo colorido 100 folhas 38 x 50mm </t>
  </si>
  <si>
    <t>Bobina de plástico para plastificação pouch film/polaseal bobina 23x0,05x60m</t>
  </si>
  <si>
    <t>Caixa de arquivo morto 140x360x260 mm</t>
  </si>
  <si>
    <t>Calculadora grande mesa 12 dígitos solar</t>
  </si>
  <si>
    <t>Caneta esferografica cor azul média</t>
  </si>
  <si>
    <t>Caneta esferografica cor preta média</t>
  </si>
  <si>
    <t>Caneta esferografica cor vermelha média</t>
  </si>
  <si>
    <t>Caneta marca texto cor amarela</t>
  </si>
  <si>
    <t>Caneta marca texto cor azul</t>
  </si>
  <si>
    <t>Caneta marca texto cor laranja</t>
  </si>
  <si>
    <t>Caneta marca texto cor rosa</t>
  </si>
  <si>
    <t>Caneta marca texto cor verde</t>
  </si>
  <si>
    <t>Caneta para retroprojetor</t>
  </si>
  <si>
    <t>Clips 2/0 cx c/100</t>
  </si>
  <si>
    <t>Clips 3/0 500 gr</t>
  </si>
  <si>
    <t>Clips 6/0 cx c/50</t>
  </si>
  <si>
    <t>Corretivo em fita</t>
  </si>
  <si>
    <t>Corretivo líquido 18 ml</t>
  </si>
  <si>
    <t>DVD RW 4.7 GB</t>
  </si>
  <si>
    <t>Elástico latex 100 gr</t>
  </si>
  <si>
    <t>Envelope branco - 25x35cm - cx com 250 unidades</t>
  </si>
  <si>
    <t>Envelope Ofício, 75g, cor natural</t>
  </si>
  <si>
    <t>Envelope pardo 240x340mm</t>
  </si>
  <si>
    <t>Envelope pardo Kraft tamanho 229mmx324mm A4 – cx com 250 envelopes</t>
  </si>
  <si>
    <t>Envelope/saco plástico com 4 furos tamanho A4</t>
  </si>
  <si>
    <t>Envelope/saco plástico sem furos tamanho A4</t>
  </si>
  <si>
    <t>Estilete largo com cabo em polipropileno, lâmina de aço de 9 cm.</t>
  </si>
  <si>
    <t>Etiqueta - A4 - caixa com 25 folhas</t>
  </si>
  <si>
    <t>Etiqueta Autoadesiva cx de 100 folhas com 1000 etiquetas 55,8x99,0mm A4350 - branca</t>
  </si>
  <si>
    <t>Etiqueta Branca adesiva, tamanho A4 256, caixa com 825 etiquetas</t>
  </si>
  <si>
    <t>Etiqueta Branca adesiva, tamanho A4250, caixa com 250 etiquetas</t>
  </si>
  <si>
    <t>Etiqueta ink jet/laser carta 215,9 x 279,4 6285 caixa com 25 unidades</t>
  </si>
  <si>
    <t>Extrator de grampo (espátula)</t>
  </si>
  <si>
    <t>Fichario com ziper em corino preto testurizado com 4 argolas fixas</t>
  </si>
  <si>
    <t>Fita adesiva para empacotamento 45mmx50m, transparente</t>
  </si>
  <si>
    <t>Fita adesiva transparente 12mm x 45m</t>
  </si>
  <si>
    <t>Fita adesiva transparente 12mm x 65m</t>
  </si>
  <si>
    <t>Fita adesiva transparente 18mm x 50m</t>
  </si>
  <si>
    <t>Fita crepe 18mm x 50m</t>
  </si>
  <si>
    <t>Fita crepe 25mm x 50m</t>
  </si>
  <si>
    <t>Fita crepe 48mm x 50m.</t>
  </si>
  <si>
    <t>Fita dupla face 18mm x 30m</t>
  </si>
  <si>
    <t>Fita dupla face 19mmx20m</t>
  </si>
  <si>
    <t>Fita durex colorido 12mm x 10m cores variadas</t>
  </si>
  <si>
    <t>Fita durex transparente 48mm x 100m</t>
  </si>
  <si>
    <t>Furador de papel com 2 furos para 60 ou 100 folhas</t>
  </si>
  <si>
    <t>Grampeador grande base 28cm grampo 23/10 p/ grampear até 70 folhas e grampo 23/13 p/ grampear até 100 folhas</t>
  </si>
  <si>
    <t>Grampeador médio base de 20 cm grampo 26/6 para grampear até 30 folhas</t>
  </si>
  <si>
    <t>Grampeador pequeno base 13 cm grampo 26/6</t>
  </si>
  <si>
    <t>Grampo p/ grampeador 23/10</t>
  </si>
  <si>
    <t>Grampo p/ grampeador 23/13</t>
  </si>
  <si>
    <t>Grampo p/ grampeador 26/6</t>
  </si>
  <si>
    <t>Livro ata com 100 folhas numeradas 205x300mm</t>
  </si>
  <si>
    <t>Livro de ponto (220x320)</t>
  </si>
  <si>
    <t>Livro de registro de ponto docentes  - 100 Folhas</t>
  </si>
  <si>
    <t>Livro protocolo de correspondência</t>
  </si>
  <si>
    <t>Mouse pad ergonômico</t>
  </si>
  <si>
    <t>Organizador porta caneta metal telado</t>
  </si>
  <si>
    <t>Papel sulfite branco A4 75g/m2 500 folhas</t>
  </si>
  <si>
    <t>Papel verge 120 gr c/50 folhas branco</t>
  </si>
  <si>
    <t>Papel verge 120 gr c/50 folhas verde claro</t>
  </si>
  <si>
    <t>Pasta aba-plástica ofício, azul, em polipropileno com elástico, 55 mm.</t>
  </si>
  <si>
    <t xml:space="preserve">Pasta catálogo com 50 plásticos - tamanho A4, com 4 furos. </t>
  </si>
  <si>
    <t>Pasta em papel cartão com aba interna elástico na ponta</t>
  </si>
  <si>
    <t>Pasta grampo plástico, transparente, capacidade para 100 sacos. TAMANHO OFÍCIO</t>
  </si>
  <si>
    <t>Pasta plástica em L tamanho: A4</t>
  </si>
  <si>
    <t>Pasta polionda - com aba - lombo de 20 mm</t>
  </si>
  <si>
    <t>Pasta polionda - com aba - lombo de 55 mm</t>
  </si>
  <si>
    <t>Pasta registradora - AZ - lombo largo (8X34X28 cm )</t>
  </si>
  <si>
    <t>Pasta registradora - AZ - lombo médio (4x34x28cm )</t>
  </si>
  <si>
    <t>Pasta sanfonada A4 transparente 31 divisórias</t>
  </si>
  <si>
    <t>Pasta suspensa - kraft com haste</t>
  </si>
  <si>
    <t>Pen drive 16 GB</t>
  </si>
  <si>
    <t>Percevejo latonado - cx. C/ 100 unidades</t>
  </si>
  <si>
    <t>Perfurador de papel com 2 furos para 20 folhas</t>
  </si>
  <si>
    <t>Pilha alcalina de 1,5 v AAA</t>
  </si>
  <si>
    <t>Pincel atômico - cor azul</t>
  </si>
  <si>
    <t>Pincel atômico - cor preta</t>
  </si>
  <si>
    <t>Pincel atômico - cor verde</t>
  </si>
  <si>
    <t>Pincel atômico - cor vermelha</t>
  </si>
  <si>
    <t>Pistola cola quente grande - 80W bivolt.</t>
  </si>
  <si>
    <t>Plastico adesivo transparente 45 cm X 10 m</t>
  </si>
  <si>
    <t>RL</t>
  </si>
  <si>
    <t>Plastico para plastificacao pouch film A4 220x307mm</t>
  </si>
  <si>
    <t>Porta durex pequeno</t>
  </si>
  <si>
    <t>Prancheta - tamanho 1/2 ofício 235mm x 160mm</t>
  </si>
  <si>
    <t>Prancheta - tamanho ofício 320mm x 220mm</t>
  </si>
  <si>
    <t>Quadro branco moldura de alumínio 120x90 cm</t>
  </si>
  <si>
    <t>Quadro de cortiça moldura de alumínio 120x90 cm</t>
  </si>
  <si>
    <t>Refil cola quente grosso</t>
  </si>
  <si>
    <t>Tesoura multiuso com estilete, medindo 18,5cm</t>
  </si>
  <si>
    <t>Tesoura multiuso, medindo 21,5cm de comprimento</t>
  </si>
  <si>
    <t>Tinta para carimbo cor azul 40ml</t>
  </si>
  <si>
    <t>Tinta para carimbo cor preta 40ml</t>
  </si>
  <si>
    <t>Tinta para carimbo cor vermelha 40ml</t>
  </si>
  <si>
    <t>Confecção de carimbo automático 1,0 X 5,0 cm</t>
  </si>
  <si>
    <t>Gráfico</t>
  </si>
  <si>
    <t>466/2022</t>
  </si>
  <si>
    <t>Confecção de carimbo automático 1,5 X 3,8 cm</t>
  </si>
  <si>
    <t>Confecção de carimbo automático 2,5 X 6,0 cm</t>
  </si>
  <si>
    <t>Confecção de carimbo automático 3,8 X 1,4 cm</t>
  </si>
  <si>
    <t>Confecção de carimbo automático 4,0 X 6,0 cm</t>
  </si>
  <si>
    <t>Confecção de carimbo automático 4,5 X 2,5 cm</t>
  </si>
  <si>
    <t>Confecção de divs impressos, blocos e formulários</t>
  </si>
  <si>
    <t>Confecção de faixa 2 metros</t>
  </si>
  <si>
    <t>Impressão colorida</t>
  </si>
  <si>
    <t>Impressão</t>
  </si>
  <si>
    <t>228/2020</t>
  </si>
  <si>
    <t>Impressão monocromática</t>
  </si>
  <si>
    <t>CMEI Alice Campos de Olivas</t>
  </si>
  <si>
    <t>512/2020 - aditivo</t>
  </si>
  <si>
    <t>CMEI Ângelo Prudente de Aquino</t>
  </si>
  <si>
    <t>CMEI DomJoão Hipólito de Moraes</t>
  </si>
  <si>
    <t>CMEI Francisco Cândido Xavier</t>
  </si>
  <si>
    <t>CMEI Irmã Irene Augusto</t>
  </si>
  <si>
    <t>CMEI Maria José Rodrigues Alves</t>
  </si>
  <si>
    <t>CMEI Miguel Rodrigues Ferreira</t>
  </si>
  <si>
    <t>CMEI Norma Paes</t>
  </si>
  <si>
    <t>CMEI Paulo Pereira dos Reis</t>
  </si>
  <si>
    <t>CMEI Pres Jânio da Silva Quadros</t>
  </si>
  <si>
    <t>CRE E PEATI</t>
  </si>
  <si>
    <t>Creche Comerciários</t>
  </si>
  <si>
    <t>Creche Jardim Primavera</t>
  </si>
  <si>
    <t>Creche Santa Edwiges</t>
  </si>
  <si>
    <t>EM Belarmina Fernandes Borges</t>
  </si>
  <si>
    <t>EM CAIC</t>
  </si>
  <si>
    <t>EM Conde Moreira Lima</t>
  </si>
  <si>
    <t>EM Cyrene Leite de Almeida</t>
  </si>
  <si>
    <t>EM Elizabeth Aparecida Pinto</t>
  </si>
  <si>
    <t>EM Geraldo José Rod Alckmin</t>
  </si>
  <si>
    <t>Em Gov Mário Covas</t>
  </si>
  <si>
    <t>EM Horácio Victor Bastos</t>
  </si>
  <si>
    <t>EM Ignez Cardoso Ferreira</t>
  </si>
  <si>
    <t>EM Padre João Renaudin de Ranville</t>
  </si>
  <si>
    <t>EM Papa João Paulo I</t>
  </si>
  <si>
    <t>EM Pres Jânio da Silva Quadros</t>
  </si>
  <si>
    <t>EM Prof Climério Galvão Cesar</t>
  </si>
  <si>
    <t>EM Prof Francisco Prudente de Aquino</t>
  </si>
  <si>
    <t>EM Prof Ruy Brasil Pereira</t>
  </si>
  <si>
    <t>EM Profª Adelina Alves Ferraz</t>
  </si>
  <si>
    <t>EM Profª Anna Pereira Lacerda</t>
  </si>
  <si>
    <t>EM Profª Aparecida Machado G de O Cruz</t>
  </si>
  <si>
    <t>EM Profª Carmelita V de O Braga</t>
  </si>
  <si>
    <t>EM Profª Hermínia F de Azevedo Almeida</t>
  </si>
  <si>
    <t>EM Profª Leda Maria B de Carvalho</t>
  </si>
  <si>
    <t>EM Profª Lucia Maria Vilar Barbosa</t>
  </si>
  <si>
    <t>EM Profª Maria Antonieta A Ferreira</t>
  </si>
  <si>
    <t>EM Profª Maria José da Cunha Senne</t>
  </si>
  <si>
    <t>EM Profª Mônica Sene do N Silva</t>
  </si>
  <si>
    <t>EM Santa Edwiges</t>
  </si>
  <si>
    <t>EM Vovó Fiuta</t>
  </si>
  <si>
    <t>EMEF Milton Balerini</t>
  </si>
  <si>
    <t>Bolo redondo</t>
  </si>
  <si>
    <t>Lanche</t>
  </si>
  <si>
    <t>397/2022</t>
  </si>
  <si>
    <t>Caixa de suco 1 litro</t>
  </si>
  <si>
    <t>Carolinas recheadas</t>
  </si>
  <si>
    <t>Croissant</t>
  </si>
  <si>
    <t>Pão de frios</t>
  </si>
  <si>
    <t>Samanta</t>
  </si>
  <si>
    <t>Água sanitária - 5 Lt</t>
  </si>
  <si>
    <t>GL</t>
  </si>
  <si>
    <t>105/2022</t>
  </si>
  <si>
    <t>Alcool etilico 92,8%</t>
  </si>
  <si>
    <t>Alcool gel 70º INPM 5 litros</t>
  </si>
  <si>
    <t>Balde de plástico 20 L</t>
  </si>
  <si>
    <t>Bota de borracha</t>
  </si>
  <si>
    <t>Cera liquida incolor frasco 850 ML</t>
  </si>
  <si>
    <t>Cesto de lixo, 62 litros</t>
  </si>
  <si>
    <t>Cesto de plástico para lixo fechado/telado</t>
  </si>
  <si>
    <t>Cesto plástico 100L com pedal</t>
  </si>
  <si>
    <t>COPO DESCARTAVEL 180 ML</t>
  </si>
  <si>
    <t>Copo descartável 180 ML</t>
  </si>
  <si>
    <t>COPO DESCARTAVEL 50 ML</t>
  </si>
  <si>
    <t>Copo descartável 50 ML</t>
  </si>
  <si>
    <t>DESENGRAXANTE 5TLS (Desengordurante)</t>
  </si>
  <si>
    <t>514/2022</t>
  </si>
  <si>
    <t>Desengraxante5TLS (Desengordurante)</t>
  </si>
  <si>
    <t>Desinfetante 5 L</t>
  </si>
  <si>
    <t>Desinfetante multiuso limpeza pesada 500ml</t>
  </si>
  <si>
    <t>Detergente 5 litros</t>
  </si>
  <si>
    <t>Detergente 500 ML neutro</t>
  </si>
  <si>
    <t>Flanela para limpeza</t>
  </si>
  <si>
    <t>Fósforo - pacote com 10 caixas com 40 palitos</t>
  </si>
  <si>
    <t xml:space="preserve">Guardanapo papel grande folha dupla tamanho mínimo 32,5x33cm pct </t>
  </si>
  <si>
    <t>Inseticida aerosol 300ML</t>
  </si>
  <si>
    <t>Limpa aluminio 500 ML</t>
  </si>
  <si>
    <t>Limpa vidros profissional 5L</t>
  </si>
  <si>
    <t>Limpador inox 5l</t>
  </si>
  <si>
    <t>Limpador pesado para pisos 5L</t>
  </si>
  <si>
    <t>Limpeza escolas e SMEL (Milcean)</t>
  </si>
  <si>
    <t>173/2020</t>
  </si>
  <si>
    <t>Lixeira com tampa 30 litros</t>
  </si>
  <si>
    <t>Lixeira de aço com pedal 30 L</t>
  </si>
  <si>
    <t>Lixeira de aço com pedal 50 L</t>
  </si>
  <si>
    <t>Lixeira plástica 60 LT</t>
  </si>
  <si>
    <t>Lixeira quadrada 100 LITROS</t>
  </si>
  <si>
    <t>Lixeira quadrada 60 LITROS</t>
  </si>
  <si>
    <t>Lustra móveis</t>
  </si>
  <si>
    <t>Luva borracha forrada tamanho G</t>
  </si>
  <si>
    <t>Luva borracha forrada tamanho M</t>
  </si>
  <si>
    <t>Luva nitrílica sem forro longa 45cm cor verde Tamanho G</t>
  </si>
  <si>
    <t>Luva nitrílica sem forro longa 45cm cor verde Tamanho M</t>
  </si>
  <si>
    <t>Luva nitrílica sem forro longa 45cm cor verde Tamanho P</t>
  </si>
  <si>
    <t>Mangueira de jardim c/ adaptador 50m</t>
  </si>
  <si>
    <t>MOP úmido 340GRS - PANO</t>
  </si>
  <si>
    <t>Multiuso limpeza pesada 500 ML</t>
  </si>
  <si>
    <t>Odorizador de ambientes</t>
  </si>
  <si>
    <t>Pá para lixo plástica cabo longo</t>
  </si>
  <si>
    <t>Pano de microfibra uso geral verde</t>
  </si>
  <si>
    <t>Pano multiuso - PCT 5 UN</t>
  </si>
  <si>
    <t>Papel higiênico</t>
  </si>
  <si>
    <t xml:space="preserve">Papel Higiênico rolao 10CMX300m folha dupla </t>
  </si>
  <si>
    <t>FAR</t>
  </si>
  <si>
    <t>Papel toalha interfolhas branco</t>
  </si>
  <si>
    <t>Pedra sanitária</t>
  </si>
  <si>
    <t>Removedor de cera 5L</t>
  </si>
  <si>
    <t>Removedor para uso geral 1 litro sem cheiro cx/12</t>
  </si>
  <si>
    <t>Rodo 30 cm madeira</t>
  </si>
  <si>
    <t>Rodo 30 cm plástico</t>
  </si>
  <si>
    <t>Rodo 40 cm com cabo</t>
  </si>
  <si>
    <t>Rodo 60 cm madeira</t>
  </si>
  <si>
    <t>Rodo limpa vidros 35 cm</t>
  </si>
  <si>
    <t>Sabão em barra</t>
  </si>
  <si>
    <t>Sabão em pó 1 KG</t>
  </si>
  <si>
    <t>Sabão Líquido</t>
  </si>
  <si>
    <t>Sabonete líquido, 5 litros</t>
  </si>
  <si>
    <t>Saco lixo preto para container 300l super reforçado micra 0,20 tamanho 160x100 pacote com 100 unid</t>
  </si>
  <si>
    <t>Saco para lixo 110 L - fardo c/ 100 UM</t>
  </si>
  <si>
    <t>Saco para lixo 15 L - fardo c/ 100 UN</t>
  </si>
  <si>
    <t>Saco para lixo 240 L - fardo c/ 100 UN</t>
  </si>
  <si>
    <t>Saco para lixo 30 L - fardo c/ 100 UN</t>
  </si>
  <si>
    <t>Saco para lixo 70 L - fardo c/ 100 UN</t>
  </si>
  <si>
    <t>Saponáceo cremoso 300 GR</t>
  </si>
  <si>
    <t>Saponáceo de sódio em pó 300 gr</t>
  </si>
  <si>
    <t>Vassoura 30 cm piaçava</t>
  </si>
  <si>
    <t>Vassoura de nylon</t>
  </si>
  <si>
    <t>Vassoura de pelo 30 cm</t>
  </si>
  <si>
    <t>Vassoura de pelo 60 cm</t>
  </si>
  <si>
    <t>Vassoura de vasculho</t>
  </si>
  <si>
    <t>Vassoura lavatina nylon</t>
  </si>
  <si>
    <t>Vassoura lavatina piaçava</t>
  </si>
  <si>
    <t>Vassourão 40 cm (tipo gari) nylon</t>
  </si>
  <si>
    <t>ABRAÇADEIRA 1"</t>
  </si>
  <si>
    <t>Manutenção</t>
  </si>
  <si>
    <t>650/2022</t>
  </si>
  <si>
    <t>ABRAÇADEIRA 1/2"</t>
  </si>
  <si>
    <t>ABRAÇADEIRA 3/4 X 1</t>
  </si>
  <si>
    <t>ABRAÇADEIRA 3/4"</t>
  </si>
  <si>
    <t>ABRAÇADEIRA DE NYLON 300 MM</t>
  </si>
  <si>
    <t>ABRAÇADEIRA DE NYLON PARA AMARRAÇÃO DE CABOS</t>
  </si>
  <si>
    <t>ABRAÇADEIRA NYLON 3,60X1,50 BRANCA 100 UN</t>
  </si>
  <si>
    <t>ABRAÇADEIRA NYLON 4,80X2 BRANCA 100 UN</t>
  </si>
  <si>
    <t>ADAPTADOR 3/4 COLA</t>
  </si>
  <si>
    <t>ADAPTADOR 60 MARROM COLA</t>
  </si>
  <si>
    <t>ADAPTADOR 75 MARROM COLA</t>
  </si>
  <si>
    <t>ADAPTADOR 85 MARROM COLA</t>
  </si>
  <si>
    <t>ADAPTADOR FLANGE 3/4</t>
  </si>
  <si>
    <t>ADAPTADOR SOLDÁVEL CURTO E ROSCA P/ REGISTRO 3/4</t>
  </si>
  <si>
    <t>ADITIVO IMPERMEABILIZANTE P/ CONCRETO E ARGAMASSA 18L</t>
  </si>
  <si>
    <t>ÁGUA RAZ</t>
  </si>
  <si>
    <t>ALICATE  DE PRESSÃO MORDENTE CURVO</t>
  </si>
  <si>
    <t>ALICATE AMPERÍMETRO MULTIMETRO DIGITAL</t>
  </si>
  <si>
    <t>ALICATE DE ARREBITE</t>
  </si>
  <si>
    <t>ALICATE DE BICO MEIA CANA LONGO COM CORTE</t>
  </si>
  <si>
    <t>ALICATE DE BOMBA D'AGUA 10"</t>
  </si>
  <si>
    <t>ALICATE TORQUÊS ARMADOR 14"</t>
  </si>
  <si>
    <t>ALICATE UNIVERSAL</t>
  </si>
  <si>
    <t>ALUBAND 20 CM</t>
  </si>
  <si>
    <t>ALUBAND 45 CM</t>
  </si>
  <si>
    <t>ANEL DE VEDAÇÃO 4"</t>
  </si>
  <si>
    <t>ANEL DE VEDAÇÃO 6"</t>
  </si>
  <si>
    <t>ANEL DE VEDAÇÃO PARA VÁLVULA HIDRA</t>
  </si>
  <si>
    <t>ARAME GALVANIZADO Nº 18</t>
  </si>
  <si>
    <t>ARAME GALVANIZADO Nº 20</t>
  </si>
  <si>
    <t>ARAME LISO,GALVANIZADO, FIO N 16, COM 60M PARA PC 1,65MM.</t>
  </si>
  <si>
    <t>ARAME RECOZIDO TORCIDO ROLOS DE 01 KG</t>
  </si>
  <si>
    <t>ARAME,LISO GALVANIZADO, FIO N 14, COM 39M PARA PC 2,11 MM.</t>
  </si>
  <si>
    <t>ARCO DE SERRA  TIPO STARRET</t>
  </si>
  <si>
    <t>ARGAMASSA PARA REVESTIMENTO IMPERMEÁVEL CAIXA 18 KG</t>
  </si>
  <si>
    <t>ARRUELA 1/4"</t>
  </si>
  <si>
    <t>ARRUELA DE PRESSÃO ZINCADA 1/4</t>
  </si>
  <si>
    <t>ARRUELA LISA ZINCADA 1/4"</t>
  </si>
  <si>
    <t>ASSENTO PARA VAZO SANITARIO, SECO, BRANCO, REFORÇADO, ARCO LIS, ESPESSO, SOBRETAMPA BRILHANTE, MODELO COMPATIVÉL COM LOUÇAS T</t>
  </si>
  <si>
    <t>BALDE PRETO PARA CONCRETO</t>
  </si>
  <si>
    <t>BALDE PRETO PARA CONCRETO COM BICO</t>
  </si>
  <si>
    <t>BARRA ROSCADA 1/2</t>
  </si>
  <si>
    <t>BARRA ROSCADA 3/4</t>
  </si>
  <si>
    <t>BARRA ROSCADA 3/8</t>
  </si>
  <si>
    <t>BARRAMENTO DE COBRE PARA 150 A - 20 X 4 MM</t>
  </si>
  <si>
    <t>BARRAMENTO DE COBRE PARA 200 A - 25 X 4 MM</t>
  </si>
  <si>
    <t>BATENTE IMBUIA 80</t>
  </si>
  <si>
    <t>BATENTE IMBUIA 90</t>
  </si>
  <si>
    <t>BETUMADEIRA 12</t>
  </si>
  <si>
    <t>BETUMADEIRA 6</t>
  </si>
  <si>
    <t>BOIA 3/4</t>
  </si>
  <si>
    <t>BOLSA PARA FERRAMENTAS COM FUNDO EMBORRACHADO</t>
  </si>
  <si>
    <t>BOLSA PRETA</t>
  </si>
  <si>
    <t>BOLSA VASO</t>
  </si>
  <si>
    <t>BROCA ACO RAPIDO 1/2"</t>
  </si>
  <si>
    <t>BROCA AÇO RÁPIDO 1/4"</t>
  </si>
  <si>
    <t>BROCA AÇO RÁPIDO 1/8"</t>
  </si>
  <si>
    <t>BROCA AÇO RÁPIDO 6MM</t>
  </si>
  <si>
    <t>BROCA PARA CONCRETO 10 MM</t>
  </si>
  <si>
    <t>BROCA PARA CONCRETO 12 MM</t>
  </si>
  <si>
    <t>BROCA PARA CONCRETO 14 MM</t>
  </si>
  <si>
    <t>BROCA PARA CONCRETO 6 MM</t>
  </si>
  <si>
    <t>BROCA PARA CONCRETO 8 MM</t>
  </si>
  <si>
    <t>BROCHAS PARA CAIAÇÃO "MONOFIL"</t>
  </si>
  <si>
    <t>BUCHA 110 X 75 MARROM COLA</t>
  </si>
  <si>
    <t>BUCHA 85 X 60 MARROM COLA</t>
  </si>
  <si>
    <t>BUCHA DE REDUÇÃO 25 X 20 CURTA</t>
  </si>
  <si>
    <t>BUCHA DE REDUÇÃO 40 X 3/4</t>
  </si>
  <si>
    <t>BUCHA DE REDUÇÃO ESGOTO 2" x 1 1/2"</t>
  </si>
  <si>
    <t>BUCHA Nº 10 C/ PARAFUSO</t>
  </si>
  <si>
    <t>BUCHA Nº 10 P/ BLOCO DE CIMENTO</t>
  </si>
  <si>
    <t>BUCHA Nº 12 C/ PARAFUSO</t>
  </si>
  <si>
    <t>BUCHA Nº 6 C/ PARAFUSO</t>
  </si>
  <si>
    <t>BUCHA Nº 8 C/ PARAFUSO</t>
  </si>
  <si>
    <t>BUCHA Nº 8 P/ BLOCO DE CIMENTO</t>
  </si>
  <si>
    <t>BUCHA REDUÇÃO 3/4 X 1/2 COLA</t>
  </si>
  <si>
    <t>CABEÇOTE P/ TORNEIRA 3/4 DE VOLTA</t>
  </si>
  <si>
    <t>CABEÇOTE P/ TORNEIRA COMUM</t>
  </si>
  <si>
    <t>CABO CAIPIRA PARA ENXADA</t>
  </si>
  <si>
    <t>CABO DE CAVADEIRA UMA FACE</t>
  </si>
  <si>
    <t>CABO DE COBRE DE 1,5 MM², ISOLAMENTO 750V - ISOLAÇÃO EM PVC 70°C – AZUL</t>
  </si>
  <si>
    <t>CABO DE COBRE DE 1,5 MM², ISOLAMENTO 750V - ISOLAÇÃO EM PVC 70°C - PRETO/ VERMELHO</t>
  </si>
  <si>
    <t>CABO DE COBRE DE 10 MM², ISOLAMENTO 750V - ISOLAÇÃO EM PVC 70°C – VERDE</t>
  </si>
  <si>
    <t>CABO DE COBRE DE 10MM², ISOLAMENTO 750 V - ISOLAÇÃO EM PVC 70°C – PRETO/VERMELHO</t>
  </si>
  <si>
    <t>CABO DE COBRE DE 2,5 MM², ISOLAMENTO 750 V - ISOLAÇÃO EM PVC 70°C – AZUL</t>
  </si>
  <si>
    <t>CABO DE COBRE DE 2,5 MM², ISOLAMENTO 750 V - ISOLAÇÃO EM PVC 70°C – VERDE</t>
  </si>
  <si>
    <t>CABO DE COBRE DE 2,5 MM², ISOLAMENTO 750V - ISOLAÇÃO EM PVC 70ºC – PRETO/VERMELHO</t>
  </si>
  <si>
    <t>CABO DE COBRE DE 25MM², ISOLAMENTO 0,6/1 KV - ISOLAÇÃO HEPR 90ºC</t>
  </si>
  <si>
    <t>CABO DE COBRE DE 4 MM², ISOLAMENTO 750 V - ISOLAÇÃO EM PVC 70°C – AZUL</t>
  </si>
  <si>
    <t>CABO DE COBRE DE 4 MM², ISOLAMENTO 750 V - ISOLAÇÃO EM PVC 70°C – PRETO/VERMELHO</t>
  </si>
  <si>
    <t>CABO DE COBRE DE 4 MM², ISOLAMENTO 750 V - ISOLAÇÃO EM PVC 70°C - VERDE</t>
  </si>
  <si>
    <t>CABO DE COBRE DE 6 MM², ISOLAMENTO 750 V - ISOLAÇÃO EM PVC 70°C – AZUL</t>
  </si>
  <si>
    <t>CABO DE COBRE DE 6 MM², ISOLAMENTO 750 V - ISOLAÇÃO EM PVC 70°C - PRETO/VERMELHO</t>
  </si>
  <si>
    <t>CABO DE COBRE DE 6 MM², ISOLAMENTO 750 V - ISOLAÇÃO EM PVC 70°C – VERDE</t>
  </si>
  <si>
    <t>CABO DE COBRE FLEXIVEL DE 16MM2, ISOLAMENTO 0,6/1KV - ISOLAÇÃO HERP 90ºC AZUL</t>
  </si>
  <si>
    <t>CABO DE COBRE FLEXIVEL DE 16MM2, ISOLAMENTO 0,6/1KV - ISOLAÇÃO HERP 90ºC PRETO/VERMELHO</t>
  </si>
  <si>
    <t>CABO DE COBRE FLEXÍVEL DE 35 MM², ISOLAMENTO 0,6/1 KV - ISOLAÇÃO HEPR 90ºC - PRETO/ VERMELHO</t>
  </si>
  <si>
    <t>CABO DE COBRE FLEXIVEL PP 2X 2,5 MM², ISOLAMENTO 750 V - ISOLAÇÃO EM PVC 70ºC</t>
  </si>
  <si>
    <t>CABO DE COBRE FLEXIVEL PP 3 X 2,5 MM², ISOLAMENTO 750 V - ISOLAÇÃO EM PVC 70ºC</t>
  </si>
  <si>
    <t>CABO DE COBRE FLEXIVEL PP 3X1,5MM2, ISOLAMENTO 500V - ISOLAÇÃO PP70º</t>
  </si>
  <si>
    <t>CABO DE COBRE FLEXIVEL PP 3X2,5MM2, ISOLAMENTO 500V - ISOLAÇÃO PP70º</t>
  </si>
  <si>
    <t>CABO DE PÁ DE BICO</t>
  </si>
  <si>
    <t>CABO DE PÁ QUADRADA</t>
  </si>
  <si>
    <t>CABO DE PICARETA</t>
  </si>
  <si>
    <t>CABO EXTENSOR PARA PINTURA</t>
  </si>
  <si>
    <t>CABO PARA CAVADEIRA 2 ABAS</t>
  </si>
  <si>
    <t>CABO PARA ENXADÃO</t>
  </si>
  <si>
    <t>CABO PARA MACHADO</t>
  </si>
  <si>
    <t>CABO PARA ROLO DE PINTURA COM GAIOLA</t>
  </si>
  <si>
    <t>CABO ROLO DE PINTURA (OUTROS TAMANHOS)</t>
  </si>
  <si>
    <t>CABO TORCIDO FLEXÍVEL DE 2 X 2,5 MM², ISOLAÇÃO EM PVC ANTICHAMA</t>
  </si>
  <si>
    <t>CADEADO N° 25</t>
  </si>
  <si>
    <t>CADEADO N° 30</t>
  </si>
  <si>
    <t>CADEADO N° 40</t>
  </si>
  <si>
    <t>CAIXA D’AGUA EM FIBRA CAPACIDADE 1.000 LITROS</t>
  </si>
  <si>
    <t>CAIXA D’AGUA EM FIBRA CAPACIDADE 500 LITROS</t>
  </si>
  <si>
    <t>CAIXA DE DESCARGA ACOPLADA</t>
  </si>
  <si>
    <t>CAIXA DE PASSAGEM EM ALUMÍNIO FUNDIDO À PROVA DE TEMPO, 200 X 200 MM</t>
  </si>
  <si>
    <t>CAIXA DE PASSAGEM EM CHAPA METÁLICA COM TAMPA PARAFUSADA - 20X20X10 CM</t>
  </si>
  <si>
    <t>CAIXA DESCARGA 9L</t>
  </si>
  <si>
    <t>CAIXA EM PVC DE 4' X 2'</t>
  </si>
  <si>
    <t>CAIXA SANFONADA 15 CM 2"</t>
  </si>
  <si>
    <t>CAIXA SANFONADA 15 CM 3"</t>
  </si>
  <si>
    <t>CAL PARA MASSA 20 KG</t>
  </si>
  <si>
    <t>CAL PARA PINTURA - EMBALAGEM  8 KG</t>
  </si>
  <si>
    <t>CAMPAINHA ALTA POTÊNCIA 110/220V, DIÂMETRO 150 MM</t>
  </si>
  <si>
    <t>CAMPAINHA CIGARRA DE EMBUTIR 50/60 HZ ATÉ 127 V, COM PLACA</t>
  </si>
  <si>
    <t>CAMPAINHA DE PRATO - BIVOLT</t>
  </si>
  <si>
    <t>CANALETA EM PVC DE 20 X 10 MM, INCLUSIVE COM ACESSÓRIOS</t>
  </si>
  <si>
    <t>CANO COLA 1/2 vara 6 metros</t>
  </si>
  <si>
    <t>CANO COLA 3/4 vara de 6 metros</t>
  </si>
  <si>
    <t>CANO DE COLA MARROM 1"</t>
  </si>
  <si>
    <t>CANO DE ESGOTO BRANCO 40mm x 1.1/2" - 6 METROS</t>
  </si>
  <si>
    <t>VR</t>
  </si>
  <si>
    <t>CANO PVC 4" ESGOTO 100mm</t>
  </si>
  <si>
    <t>MT</t>
  </si>
  <si>
    <t>CANO PVC ESGOTO 50</t>
  </si>
  <si>
    <t>CANO PVC ESGOTO 6</t>
  </si>
  <si>
    <t>CANO PVC ESGOTO 8"</t>
  </si>
  <si>
    <t>CAPS SOLDÁVEL DE 20"</t>
  </si>
  <si>
    <t>CAPS SOLDÁVEL DE 25</t>
  </si>
  <si>
    <t>CARRAPETA DE 1/2"</t>
  </si>
  <si>
    <t>CARRAPETA DE 3/4</t>
  </si>
  <si>
    <t>CARRINHO DE MÃO PNEU COM CÂMARA DE AR</t>
  </si>
  <si>
    <t>CAVADEIRA 2 ABAS - MÉDIA</t>
  </si>
  <si>
    <t>CAVADEIRA UMA FACE</t>
  </si>
  <si>
    <t>CAVALETES DE ÁGUA SABESP</t>
  </si>
  <si>
    <t>CHAPA 1200 X 2000 - 1/4</t>
  </si>
  <si>
    <t>CHAPA 1200 X 2000 - 3/16</t>
  </si>
  <si>
    <t>CHAPA 1200 X 3000 - 1/2</t>
  </si>
  <si>
    <t>CHAPA 1200 X 3000 - 3/16</t>
  </si>
  <si>
    <t>CHAVE DE COMANDO PARA 220 V 1 X 30 A</t>
  </si>
  <si>
    <t>CHAVE DE COMANDO PARA 220 V 2 X 30 A</t>
  </si>
  <si>
    <t>CHAVE DE FENDA 1/4 X 5</t>
  </si>
  <si>
    <t>CHAVE DE GRIFO 14</t>
  </si>
  <si>
    <t>CHUVEIRO ELÉTRICO DE 6500 W/ 220 V COM RESISTÊNCIA BLINDADA</t>
  </si>
  <si>
    <t>CHUVEIRO MULTITEMPERATURAS, COM REGULAGEM DE INCLINAÇÃO, DE 7500 W/220 V</t>
  </si>
  <si>
    <t>CIMENTICOLA PISO EXTERNO 20 KG</t>
  </si>
  <si>
    <t>CIMENTICOLA PISO INTERNO 20 KG</t>
  </si>
  <si>
    <t>CIMENTO CPII SACO C/50KG</t>
  </si>
  <si>
    <t>COLA 175 GR</t>
  </si>
  <si>
    <t>COLA PVC 75 GR</t>
  </si>
  <si>
    <t>COLA PVC 850 GR</t>
  </si>
  <si>
    <t>COLHER DE PEDREIRO MÉDIA</t>
  </si>
  <si>
    <t>COLUNA PARA CAIXA 14 X 7</t>
  </si>
  <si>
    <t>COMPRESSOR DE AR DIRETO KIT COMPLETO</t>
  </si>
  <si>
    <t>CONDULETE METÁLICO DE 1" TIPO C</t>
  </si>
  <si>
    <t>CONDULETE METÁLICO DE 1" TIPO E</t>
  </si>
  <si>
    <t>CONDULETE METÁLICO DE 1" TIPO LB</t>
  </si>
  <si>
    <t>CONDULETE METÁLICO DE 1" TIPO LL</t>
  </si>
  <si>
    <t>CONDULETE METÁLICO DE 1" TIPO LR</t>
  </si>
  <si>
    <t>CONDULETE METÁLICO DE 3/4" TIPO C</t>
  </si>
  <si>
    <t>CONDULETE METÁLICO DE 3/4" TIPO E</t>
  </si>
  <si>
    <t>CONDULETE METÁLICO DE 3/4" TIPO LB</t>
  </si>
  <si>
    <t>CONDULETE METÁLICO DE 3/4" TIPO LL</t>
  </si>
  <si>
    <t>CONDULETE METÁLICO DE 3/4" TIPO LR</t>
  </si>
  <si>
    <t>CONDULETE METÁLICO DE 3/4" TIPO TB</t>
  </si>
  <si>
    <t>CONECTOR CABO/HASTE DE 3/4</t>
  </si>
  <si>
    <t>CONECTOR SPLIT-BOLT PARA CABO DE 25 MM², LATÃO, SIMPLES</t>
  </si>
  <si>
    <t>CONECTOR SPLIT-BOLT PARA CABO DE 35 MM², LATÃO, SIMPLES</t>
  </si>
  <si>
    <t>CONECTOR SPLIT-BOLT PARA CABO DE 50 MM², LATÃO, SIMPLES</t>
  </si>
  <si>
    <t>CONJUNTO 1 INTERRUPTOR SIMPLES E 1 TOMADA 2P + T DE 10 A, COMPLETO</t>
  </si>
  <si>
    <t>CONJUNTO 2 INTERRUPTORES SIMPLES E 1 TOMADA 2P + T DE 10 A, COMPLETO</t>
  </si>
  <si>
    <t>CONJUNTO 2 TOMADAS 2P + T DE 10 A, COMPLETO</t>
  </si>
  <si>
    <t>CONTATOR DE POTÊNCIA 16 A - 2 NA + 2 NF</t>
  </si>
  <si>
    <t>CONTATOR DE POTÊNCIA 22 A/25 A - 2 NA + 2 NF</t>
  </si>
  <si>
    <t>CONTATOR DE POTÊNCIA 32 A - 2 NA + 2 NF</t>
  </si>
  <si>
    <t>COTOVELO AZUL 3/4</t>
  </si>
  <si>
    <t>COTOVELO AZUL 3/4 X 1/2</t>
  </si>
  <si>
    <t>COTOVELO COLA 1"</t>
  </si>
  <si>
    <t>COTOVELO COLA 3/4</t>
  </si>
  <si>
    <t>COTOVELO DE CANO BRANCO DE 40</t>
  </si>
  <si>
    <t>COTOVELO ESGOTO DE 50</t>
  </si>
  <si>
    <t>COTOVELO EXTERNO PVC SISTEMA X</t>
  </si>
  <si>
    <t>COTOVELO INTERNO PVC SISTEMA X</t>
  </si>
  <si>
    <t>COTOVELO PVC COLA 3/4</t>
  </si>
  <si>
    <t>COTOVELO PVC ESGOTO 6</t>
  </si>
  <si>
    <t>COTOVELO PVC ESGOTO DE 40</t>
  </si>
  <si>
    <t>CUMIEIRA GALVANIZADA</t>
  </si>
  <si>
    <t>CURVA BRANCA DE 40</t>
  </si>
  <si>
    <t>CURVA DE PVC 90° X 1/2</t>
  </si>
  <si>
    <t>CURVA DE PVC 90° X 3/4</t>
  </si>
  <si>
    <t>CURVA DE TRASPOSIÇÃO SOLDÁVEL 25 MM</t>
  </si>
  <si>
    <t>CURVA PARA ELETRODUTO 3/4</t>
  </si>
  <si>
    <t>DESEMPENADEIRA DE MADEIRA GRANDE</t>
  </si>
  <si>
    <t>DESEMPENADEIRA DE PVC</t>
  </si>
  <si>
    <t>DESINGRIPANTE</t>
  </si>
  <si>
    <t>DIMMER ROTATIVO BIVOLT BRANCO 400W</t>
  </si>
  <si>
    <t>DISCO DE CORTE 4 X 1/2"</t>
  </si>
  <si>
    <t>DISCO DE CORTE 4.1/2 X 1,0 MM</t>
  </si>
  <si>
    <t>DISCO DE CORTE 7" - ESMERILHADEIRA</t>
  </si>
  <si>
    <t>DISCO DE CORTE INOX 4 X 1/2"</t>
  </si>
  <si>
    <t>DISCO DE SERRA CIRCULAR MANUAL DE 7"</t>
  </si>
  <si>
    <t>DISCO DE SERRA DIAMANTADO 350 MM (P/ CONCRETO E ASFALTO)</t>
  </si>
  <si>
    <t>DISCO DE SERRA PARA MADEIRA</t>
  </si>
  <si>
    <t>DISCO DESBASTE 4 1/2 X 1,0 MM</t>
  </si>
  <si>
    <t>DISCO DIAMANTADO PARA CORTE PISO PARA MAQUINA MAKITA</t>
  </si>
  <si>
    <t>DISCO SERRA CIRCULAR MANUAL 250 MM</t>
  </si>
  <si>
    <t>DISJUNTOR SÉRIE UNIVERSAL, EM CAIXA MOLDADA</t>
  </si>
  <si>
    <t>DISJUNTOR TERMOMAGNETICO TRIPOLAR 125A</t>
  </si>
  <si>
    <t>DISJUNTOR TERMOMAGNÉTICO TRIPOLAR 200A/600V</t>
  </si>
  <si>
    <t>DISJUNTOR TERMOMAGNÉTICO, BIPOLAR 220/380V, CORRENTE DE 20 A</t>
  </si>
  <si>
    <t>DISJUNTOR TERMOMAGNÉTICO, BIPOLAR 220/380V, CORRENTE DE 32 A</t>
  </si>
  <si>
    <t>DISJUNTOR TERMOMAGNÉTICO, BIPOLAR 220/380V, CORRENTE DE 50 A</t>
  </si>
  <si>
    <t>DISJUNTOR TERMOMAGNÉTICO, TRIPOLAR 220/380V, CORRENTE 100A</t>
  </si>
  <si>
    <t>DISJUNTOR TERMOMAGNÉTICO, TRIPOLAR 220/380V, CORRENTE 50A</t>
  </si>
  <si>
    <t>DISJUNTOR TERMOMAGNÉTICO, TRIPOLAR 220/380V, CORRENTE 63A</t>
  </si>
  <si>
    <t>DISJUNTOR TERMOMAGNÉTICO, UNIPOLAR 127/220V, CORRENTE 10A</t>
  </si>
  <si>
    <t>DISJUNTOR TERMOMAGNÉTICO, UNIPOLAR 127/220V, CORRENTE 25A</t>
  </si>
  <si>
    <t>DISJUNTOR TERMOMAGNÉTICO, UNIPOLAR 127/220V, CORRENTE 32A</t>
  </si>
  <si>
    <t>DISJUNTOR TERMOMAGNÉTICO, UNIPOLAR 127/220V, CORRENTE 50A</t>
  </si>
  <si>
    <t>DISJUNTOR TIPO NEMA, TRIPOLAR 100A, TENSÃO MAXIMA DE 415V</t>
  </si>
  <si>
    <t>DISJUNTOR TRIPOLAR TERMOMAGNÉTICO 3 X 125 A</t>
  </si>
  <si>
    <t>DISJUNTOR TRIPOLAR TERMOMAGNÉTICO 3 X 225 A</t>
  </si>
  <si>
    <t>DISPOSITIVO DIFERENCIAL RESIDUAL DE 25 A X 30 mA - 2 PÓLOS</t>
  </si>
  <si>
    <t>DISPOSITIVO DIFERENCIAL RESIDUAL DE 40 A X 30 mA - 4 PÓLOS</t>
  </si>
  <si>
    <t>DISPOSITIVO DIFERENCIAL RESIDUAL DE 63 A X 30 mA - 4 PÓLOS</t>
  </si>
  <si>
    <t>DOBRADIÇA DE PORTA DE MADEIRA</t>
  </si>
  <si>
    <t>DOBRADIÇA FERRADURA Nº 2 - PAR</t>
  </si>
  <si>
    <t>DOBRADIÇA GONZO COM ABA 5/8</t>
  </si>
  <si>
    <t>DOBRADIÇA REDONDA GONZO 1"</t>
  </si>
  <si>
    <t>DOBRADIÇA REDONDA GONZO 1/2</t>
  </si>
  <si>
    <t>ELETRODUTO DE FERRO GALVANIZADO, PESADO DE 1 1/2" - COM ACESSÓRIOS</t>
  </si>
  <si>
    <t>ELETRODUTO DE FERRO GALVANIZADO, PESADO DE 1" - COM ACESSÓRIOS</t>
  </si>
  <si>
    <t>ELETRODUTO DE FERRO GALVANIZADO, PESADO DE 3/4" - COM ACESSÓRIOS</t>
  </si>
  <si>
    <t>ELETRODUTO DE PVC CORRUGADO FLEXÍVEL LEVE, DIÂMETRO EXTERNO DE 25 MM</t>
  </si>
  <si>
    <t>ELETRODUTO DE PVC RÍGIDO ROSCÁVEL DE 1 1/2" - COM ACESSÓRIOS</t>
  </si>
  <si>
    <t>ELETRODUTO DE PVC RÍGIDO ROSCÁVEL DE 1" - COM ACESSÓRIOS</t>
  </si>
  <si>
    <t>ELETRODUTO DE PVC RÍGIDO ROSCÁVEL DE 3/4" - COM ACESSÓRIOS</t>
  </si>
  <si>
    <t>ELETRODUTO METÁLICO FLEXÍVEL COM CAPA DE PVC DE 3/4</t>
  </si>
  <si>
    <t>Energia elétrica</t>
  </si>
  <si>
    <t>ENGATE PVC</t>
  </si>
  <si>
    <t>ENGATE PVC 40 CM</t>
  </si>
  <si>
    <t>ENGATE PVC 50 CM</t>
  </si>
  <si>
    <t>ENGATE PVC 60 CM</t>
  </si>
  <si>
    <t>ENXADA COM CABO</t>
  </si>
  <si>
    <t>ENXADÃO COM CABO</t>
  </si>
  <si>
    <t>EPOXI 3600 L</t>
  </si>
  <si>
    <t>ESCADA ALUMINIO TELESCÓPICA 4.4 M 15 DEGRAUS</t>
  </si>
  <si>
    <t>ESCADA MULTIFUNCIONA MOR 5131 4X3 12 DEGRAUS ALUMINIO</t>
  </si>
  <si>
    <t>ESCOVA DE AÇO</t>
  </si>
  <si>
    <t>ESCOVA DE AÇO 6X1 2X1 8X7/8</t>
  </si>
  <si>
    <t>ESTILETE LARGO</t>
  </si>
  <si>
    <t>FECHADURA INTERNA ESPELHO AÇO 40 MM MGM STILO</t>
  </si>
  <si>
    <t>FECHADURA INTERNA PARA PORTA DE MADEIRA</t>
  </si>
  <si>
    <t>FECHADURA STANLEY</t>
  </si>
  <si>
    <t>FERRO 3/16 CA 50</t>
  </si>
  <si>
    <t>BR</t>
  </si>
  <si>
    <t>FERRO CA50 VERGALHÃO 1/2"</t>
  </si>
  <si>
    <t>FERRO CA50 VERGALHÃO 3/4"</t>
  </si>
  <si>
    <t>FERRO CA50 VERGALHÃO 3/8"</t>
  </si>
  <si>
    <t>FIO DE COBRE, SÓLIDO, CLASSE 1, ISOLAÇÃO PVC/A, ANTICHAMA BWFB, 450/750V, SEÇÃO NOMINAL 4 MM²</t>
  </si>
  <si>
    <t>FIO RÍGIDO DE COBRE 4 MM², ISOLAMENTO 750 V, ISOLAÇÃO PVC</t>
  </si>
  <si>
    <t>FITA ISOLANTE COMP. FILME PVC, ANTICHAMA</t>
  </si>
  <si>
    <t>FITA ISOLANTE DE ALTA FUSÃO 19 MM X 10 M (ROLO)</t>
  </si>
  <si>
    <t>FITA ISOLANTE DE BORRACHA AUTOFUSÃO, USO ATÉ 69 KV (ALTA TENSÃO)</t>
  </si>
  <si>
    <t>FITA ZEBRADA</t>
  </si>
  <si>
    <t>FOLHA IMBUIA 80</t>
  </si>
  <si>
    <t>FOLHA IMBUIA 90</t>
  </si>
  <si>
    <t>FUNDO PARA GALVANIZADO - PRIMER 3,6 L</t>
  </si>
  <si>
    <t>FURADEIRA DE IMPACTO COM MANDRIL 3/4 760W</t>
  </si>
  <si>
    <t>GRAFIATO BRANCO 25 KG</t>
  </si>
  <si>
    <t>HASTE DE ATERRAMENTO DE 5/8 X 2,40 M</t>
  </si>
  <si>
    <t>INTERRUPTOR COM 1 TECLA SIMPLES E PLACA</t>
  </si>
  <si>
    <t>INTERRUPTOR COM 2 TECLAS SIMPLES E PLACA</t>
  </si>
  <si>
    <t>INTERRUPTOR SIMPLES 250 V 10 A SISTEMA X</t>
  </si>
  <si>
    <t>JOELHO 90º SOLDÁVEL 25mm x 3/4" (MARROM)</t>
  </si>
  <si>
    <t>JOELHO ESGOTO 45 X 100</t>
  </si>
  <si>
    <t>JOELHO ESGOTO 45 X 75</t>
  </si>
  <si>
    <t>JOELHO ESGOTO 90º X 75mm</t>
  </si>
  <si>
    <t>JOELHO MISTO AZUL 3/4 X 1/2</t>
  </si>
  <si>
    <t>JOELHO SOLD 90 X 20</t>
  </si>
  <si>
    <t>JOGO CHAVE BOCA COMBINADA COMPLETO (MM)</t>
  </si>
  <si>
    <t>JOGO DE CHAVES DE FENDA</t>
  </si>
  <si>
    <t>JOGO DE CHAVES DE PHILIPS</t>
  </si>
  <si>
    <t>KIT SALVA REGISTRO</t>
  </si>
  <si>
    <t>LADRILHO CALÇADA BRANCO</t>
  </si>
  <si>
    <t>LADRILHO CALÇADA PRETO</t>
  </si>
  <si>
    <t>LADRILHO CALÇADA PRETO/ BRANCO</t>
  </si>
  <si>
    <t>LAJOTA DE BARRO 19 X 11</t>
  </si>
  <si>
    <t>LAJOTA DE BARRO 9X19X19</t>
  </si>
  <si>
    <t>LÂMINA DE SERRA MANUAL 18 DENTES</t>
  </si>
  <si>
    <t>LÂMINA PARA PLAINA ELÉTRICA</t>
  </si>
  <si>
    <t>LÂMINA TIPO STARRET (PCT C/ 10)</t>
  </si>
  <si>
    <t>LAMPADA DE LED 13,5W COM BASE E27</t>
  </si>
  <si>
    <t>LAMPADA DE LED TUBULAR T8 COM BASE G-13, DE 1600 ATÉ 1943 IM - 18 W</t>
  </si>
  <si>
    <t>LAMPADA DE LED TUBULAR T8 COM BASE G-13, DE 750 ATÉ 940 IM - 9 W</t>
  </si>
  <si>
    <t>LAMPADA DE VAPOR DE SODIO ELIPSOIDAL, BASE E-40 DE 150 W</t>
  </si>
  <si>
    <t>LAMPADA DE VAPOR DE SODIO ELIPSOIDAL, BASE E-40 DE 250 W</t>
  </si>
  <si>
    <t>LAMPADA DE VAPOR DE SODIO TUBULAR, BASE E-40 DE 150 W</t>
  </si>
  <si>
    <t>LAMPADA DE VAPOR DE SODIO TUBULAR, BASE E-40 DE 250 W</t>
  </si>
  <si>
    <t>LAMPADA DE VAPOR DE VAPOR METALICO TUBULAR, BASE E-40 DE 250W</t>
  </si>
  <si>
    <t>LAMPADA DE VAPOR DE VAPOR METALICO TUBULAR, BASE E-40 DE 400 W</t>
  </si>
  <si>
    <t>LAMPADA FLUORESCENTE COMPACTA ELETRONICA 3U, BASE E-27 DE 25 W - 127 V</t>
  </si>
  <si>
    <t>LAMPADA FLUORESCENTE COMPACTA ELETRONICA 3U, BASE E-27 DE 25 W - 220 V</t>
  </si>
  <si>
    <t>LAMPADA FLUORESCENTE COMPACTA ELETRONICA 3U, BASE E-27 DE 30 W - 220 V</t>
  </si>
  <si>
    <t>LAMPADA FLUORESCENTE COMPACTA ELETRONICA 3U, BASE E-27 DE 35 W - 127 V</t>
  </si>
  <si>
    <t>LAMPADA FLUORESCENTE COMPACTA ELETRONICA 3U, BASE E-27 DE 45 W - 127 V</t>
  </si>
  <si>
    <t>LAMPADA FLUORESCENTE COMPACTA ELETRONICA, BASE E-27 COM 59 W A 65 W DE POTÊNCIA</t>
  </si>
  <si>
    <t>LAMPADA FLUORESCENTE ESPIRAL BRANCA 45W, BASE E27 127/220V</t>
  </si>
  <si>
    <t>LÂMPADA FLUORESCENTE ESPIRAL BRANCA 65 W, BASE E27 (127/220V)</t>
  </si>
  <si>
    <t>LAMPADA FLUORESCENTE TUBULAR, BASE BIPINO BILATERAL DE 32 W</t>
  </si>
  <si>
    <t>LAMPADA HALÓGENA COM REFLETOR DICROICO, DE 50 W - 12 V</t>
  </si>
  <si>
    <t>LÂMPADA LED 10W BIVOLT BRANCA, FORMATO TRADICIONAL (BASE E27)</t>
  </si>
  <si>
    <t>LÁPIS DE PEDREIRO</t>
  </si>
  <si>
    <t>LIXA D´AGUA FINA</t>
  </si>
  <si>
    <t>LIXA DE FERRO N° 80</t>
  </si>
  <si>
    <t>LIXA PARA FERRO N° 100</t>
  </si>
  <si>
    <t>LIXA PARA FERRO N° 50</t>
  </si>
  <si>
    <t>LIXA PARA FERRO Nº 150</t>
  </si>
  <si>
    <t>LIXA PARA PAREDE N° 80</t>
  </si>
  <si>
    <t>LIXA PARA PAREDE Nº 150</t>
  </si>
  <si>
    <t>LIXA PARA PAREDE Nº 50</t>
  </si>
  <si>
    <t>LONA PLÁSTICA 3 X 4</t>
  </si>
  <si>
    <t>LUMINÁRIA RETANGULAR DE SOBREPOR TIPO CALHA ABERTA PARA 2 LÂMPADAS FLUORESCENTES TUBULARES DE 32 W</t>
  </si>
  <si>
    <t>LUVA 3/4 COLA</t>
  </si>
  <si>
    <t>LUVA AZUL 3/4</t>
  </si>
  <si>
    <t>LUVA AZUL 3/4 X 1/2</t>
  </si>
  <si>
    <t>LUVA BRANCA DE QUARENTA</t>
  </si>
  <si>
    <t>LUVA COLA 1"</t>
  </si>
  <si>
    <t>LUVA CORRER 1/2</t>
  </si>
  <si>
    <t>LUVA ESGOTO 6"</t>
  </si>
  <si>
    <t>LUVA ESGOTO CORRER 40</t>
  </si>
  <si>
    <t>LUVA ESGOTO SIMPLES 75 MM 3"</t>
  </si>
  <si>
    <t>LUVA ESGOTO SOLDÁVEL 40</t>
  </si>
  <si>
    <t>LUVA PVC 1"</t>
  </si>
  <si>
    <t>LUVA PVC 2"</t>
  </si>
  <si>
    <t>LUVA PVC COLA CORRER 3/4 COLA SOLDÁVEL</t>
  </si>
  <si>
    <t>LUVA PVC ESGOTO 3</t>
  </si>
  <si>
    <t>LUVA SOLDÁVEL 3/4"</t>
  </si>
  <si>
    <t>MACHADO COM CABO</t>
  </si>
  <si>
    <t>MADERITE 13MM- 1,10 X 2,20 M - COLA BRANCA</t>
  </si>
  <si>
    <t>MADERITE 16MM- 1,10 X 2,20 M - COLA BRANCA</t>
  </si>
  <si>
    <t>MADERITE 20MM- 1,10 X 2,20 M - COLA BRANCA</t>
  </si>
  <si>
    <t>MALHA POP 10 X 10 X 4.2 3X2 (Q138) LEVE</t>
  </si>
  <si>
    <t>MANGUEIRA ALTA PRESSÃO 1/2</t>
  </si>
  <si>
    <t>MANGUEIRA PRETA 1"</t>
  </si>
  <si>
    <t>MANGUEIRA PRETA 1/2"</t>
  </si>
  <si>
    <t>MANGUEIRA PRETA 3/4"</t>
  </si>
  <si>
    <t>Manutenção elevador - CAAPEL</t>
  </si>
  <si>
    <t>-</t>
  </si>
  <si>
    <t>Manutenção elevador - CIEJAP</t>
  </si>
  <si>
    <t>114/2021</t>
  </si>
  <si>
    <t>Manutenção/lubrificação de persianas</t>
  </si>
  <si>
    <t>103/2023</t>
  </si>
  <si>
    <t>MÃO FRANCESA DE 15 CM</t>
  </si>
  <si>
    <t>MÃO FRANCESA DE 30 CM</t>
  </si>
  <si>
    <t>MÃO FRANCESA DE 50 CM</t>
  </si>
  <si>
    <t>MARRETA 1 KG COM CABO</t>
  </si>
  <si>
    <t>MARRETA 1,5 KG COM CABO</t>
  </si>
  <si>
    <t>MARRETA DE 5 KG</t>
  </si>
  <si>
    <t>MARRETA OITAVADA 2000 G COM CABO</t>
  </si>
  <si>
    <t>MARTELO DE BORRACHA 60 MM BRANCO</t>
  </si>
  <si>
    <t>MARTELO MÉDIO</t>
  </si>
  <si>
    <t>MASSA ACRÍLICA GALÃO</t>
  </si>
  <si>
    <t>MASSA CORRIDA 18 L PVA</t>
  </si>
  <si>
    <t>MASSA DE CALAFETAR 400 gr</t>
  </si>
  <si>
    <t>MASSA PLÁSTICA 400 G</t>
  </si>
  <si>
    <t>NIPLE 1/2"</t>
  </si>
  <si>
    <t>NIPLE 3/4"</t>
  </si>
  <si>
    <t>NÍVEL DE MÃO ALUMÍNIO 12" 40 CM</t>
  </si>
  <si>
    <t>NIVEL MÃO</t>
  </si>
  <si>
    <t>PÁ DE BICO</t>
  </si>
  <si>
    <t>PÁ QUADRADA</t>
  </si>
  <si>
    <t>PARAFUSO COM BUCHA - S6</t>
  </si>
  <si>
    <t>PARAFUSO COM BUCHA 10 MM COLA</t>
  </si>
  <si>
    <t>PARAFUSO COM BUCHA N°8</t>
  </si>
  <si>
    <t>PARAFUSO DE AÇO TIPO CHUMBADOR PARABOLT, DIÂMETRO 3/8", COMPRIMENTO 75 MM</t>
  </si>
  <si>
    <t>PARAFUSO DE AÇO ZINCADO COM ROSCA SOBERBA, CABEÇA CHATA E FENDA SIMPLES, DIÂMETRO 2,5MM, COMPRIMENTO 9,5 MM</t>
  </si>
  <si>
    <t>PARAFUSO DE AÇO ZINCADO COM ROSCA SOBERBA, CABEÇA CHATA E FENDA SIMPLES, DIÂMETRO 4,2MM, COMPRIMENTO 32 MM</t>
  </si>
  <si>
    <t>PARAFUSO DE AÇO ZINCADO COM ROSCA SOBERBA, CABEÇA CHATA E FENDA SIMPLES, DIÂMETRO 4,8MM, COMPRIMENTO 45 MM</t>
  </si>
  <si>
    <t>PARAFUSO DE FENDA - 10 MM COM BUCHA</t>
  </si>
  <si>
    <t>PARAFUSO DE FENDA - 6 MM COM BUCHA</t>
  </si>
  <si>
    <t>PARAFUSO DE FENDA - 8 MM COM BUCHA</t>
  </si>
  <si>
    <t>PARAFUSO DE FERRO POLIDO,SEXTAVADO, COM ROSCA INTEIRA, DIÂMETRO 5/16" COMPRIMENTO 3/4", COM PORCA E ARRUELA LISA</t>
  </si>
  <si>
    <t>PARAFUSO DE FERRO POLIDO,SEXTAVADO,COM ROSCA PARCIAL, DIÂMETRO 5/8" COMPRIMENTO 6", COM PORCA E ARRUELA DE PRESSÃO MÉDIA</t>
  </si>
  <si>
    <t>PARAFUSO DE FIXAÇÃO PARA TELHA</t>
  </si>
  <si>
    <t>PARAFUSO DE LATÃO COM ROSCA SOBERBA, CABEÇA CHATA E FENDA SIMPLES, DIÂMETRO 4,8 MM, COMPRIMENTO 65 MM</t>
  </si>
  <si>
    <t>PARAFUSO FRANCÊS 1/2</t>
  </si>
  <si>
    <t>PARAFUSO FRANCÊS 1/4</t>
  </si>
  <si>
    <t>PARAFUSO FRANCÊS 1/4 X 2 1/2</t>
  </si>
  <si>
    <t>PARAFUSO FRANCÊS 3/16</t>
  </si>
  <si>
    <t>PARAFUSO FRANCÊS 3/8</t>
  </si>
  <si>
    <t>PARAFUSO FRANCÊS 5/16</t>
  </si>
  <si>
    <t>PARAFUSO MADEIRA 38 X 30</t>
  </si>
  <si>
    <t>PARAFUSO PARA LAVATÓRIO 8 MM</t>
  </si>
  <si>
    <t>PARAFUSO PARA TELHA 1/4 1"</t>
  </si>
  <si>
    <t>PARAFUSO PARA VASO 10 MM</t>
  </si>
  <si>
    <t>PARAFUSO PARABOLT 1"</t>
  </si>
  <si>
    <t>PARAFUSO PARABOLT 1/2</t>
  </si>
  <si>
    <t>PARAFUSO PARABOLT 1/4</t>
  </si>
  <si>
    <t>PARAFUSO PARABOLT 3/4</t>
  </si>
  <si>
    <t>PARAFUSO PARABOLT 3/8</t>
  </si>
  <si>
    <t>PARAFUSO ROSCA SOBERBA 5/16" X 75 MM</t>
  </si>
  <si>
    <t>PARAFUSO SEXTAVADO - 10 MM COM BUCHA</t>
  </si>
  <si>
    <t>PARAFUSO SEXTAVADO - 8 MM COM BUCHA</t>
  </si>
  <si>
    <t>PARAFUSOS COM BUCHA 6</t>
  </si>
  <si>
    <t>PASTA LUBRIFICANTE 160 GRAMAS</t>
  </si>
  <si>
    <t>PÉ DE CABRA</t>
  </si>
  <si>
    <t>PENEIRA FINA</t>
  </si>
  <si>
    <t>PENEIRA GROSSA</t>
  </si>
  <si>
    <t>PENEIRA MÉDIA</t>
  </si>
  <si>
    <t>PERFILADO PERFURADO 38 X 38 MM, COM ACESSÓRIOS</t>
  </si>
  <si>
    <t>PICARETA COM CABO</t>
  </si>
  <si>
    <t>PINCEL 2 1/2</t>
  </si>
  <si>
    <t>PINCEL 319 2 1/2</t>
  </si>
  <si>
    <t>PINCEL 319 2"</t>
  </si>
  <si>
    <t>PINCEL 319 3</t>
  </si>
  <si>
    <t>PINO RETENTOR DE VÁLVULA HIDRA</t>
  </si>
  <si>
    <t>PISO CERÂMICO 50X50</t>
  </si>
  <si>
    <t>M²</t>
  </si>
  <si>
    <t>PISTOLA DE PINTURA INDUSTRIAL MOD 2A-2AI</t>
  </si>
  <si>
    <t>PLACA CEGA CONDULETE</t>
  </si>
  <si>
    <t>PLAINA ELÉTRICA 82 MM 720 W</t>
  </si>
  <si>
    <t>PLUG DE 1/2</t>
  </si>
  <si>
    <t>PÓ XADREZ - VERMELHO - 500 gr</t>
  </si>
  <si>
    <t>PÓ XADREZ (ÓXIDO DE FERRO) KG</t>
  </si>
  <si>
    <t>PONTEIRO</t>
  </si>
  <si>
    <t>PORCA DE AÇO GRS 1/4</t>
  </si>
  <si>
    <t>PORCA PARAFUSO FRANCÊS 1/2</t>
  </si>
  <si>
    <t>PORCA PARAFUSO FRANCÊS 1/4</t>
  </si>
  <si>
    <t>PORCA PARAFUSO FRANCÊS 1/4 X 2 1/2</t>
  </si>
  <si>
    <t>PORCA PARAFUSO FRANCÊS 3/16</t>
  </si>
  <si>
    <t>PORCA PARAFUSO FRANCÊS 3/8</t>
  </si>
  <si>
    <t>PORCA PARAFUSO FRANCÊS 5/16</t>
  </si>
  <si>
    <t>PORCA TORNEADA 1/2</t>
  </si>
  <si>
    <t>PORCA TORNEADA 1/4</t>
  </si>
  <si>
    <t>PORTA DE CHAPA DE 82 CM</t>
  </si>
  <si>
    <t>PREGO 12 X 12 COM CABEÇA</t>
  </si>
  <si>
    <t>PREGO 12 X 12 SEM CABEÇA</t>
  </si>
  <si>
    <t>PREGO 13 X 15</t>
  </si>
  <si>
    <t>PREGO 13 X 18</t>
  </si>
  <si>
    <t>PREGO 15 X 21</t>
  </si>
  <si>
    <t>PREGO 17 X 21 COM CABEÇA</t>
  </si>
  <si>
    <t>PREGO 18 X 30</t>
  </si>
  <si>
    <t>PREGO 18 X 30 COM CABEÇA</t>
  </si>
  <si>
    <t>PREGO 20 X 30</t>
  </si>
  <si>
    <t>PREGO 22 X 48</t>
  </si>
  <si>
    <t>PREGO 24 X 60</t>
  </si>
  <si>
    <t>PREGO 25X72 COM CABEÇA</t>
  </si>
  <si>
    <t>PROJETOR RETANGULAR FECHADO, PARA LÂMPADAS VAPOR METÁLICO E DE SÓDIO 250/400 W</t>
  </si>
  <si>
    <t>PRUMO</t>
  </si>
  <si>
    <t>QUADRO DE DISJUNTORES DE DISTRIBUIÇÃO EM CHAPA METÁLICA PARA ATÉ 4 DISJUNTORES</t>
  </si>
  <si>
    <t>QUADRO DE DISJUNTORES DE DITRIBUIÇÃO EM CHAPA METÁLICA PARA ATÉ 12 DISJUNTORES</t>
  </si>
  <si>
    <t>QUADRO DE DISTRIBUIÇÃO UNIVERSAL DE SOBREPOR, PARA DISJUNTORES 16 DIN 12 BOLT-ON 150 A</t>
  </si>
  <si>
    <t>QUADRO DE DISTRIBUIÇÃO UNIVERSAL DE SOBREPOR, PARA DISJUNTORES 24 DIN 18 BOLT-ON - 150 A - SEM COMPONENTES</t>
  </si>
  <si>
    <t>REATOR ELETR. DE ALTO FATOR POT, C/ PART. INSTANT., P/ DUAS LÂMP. FLUOR. TUBULAR, BASE BIPINO BILATERAL, 16W - 127V/220V</t>
  </si>
  <si>
    <t>REATOR ELETR. DE ALTO FATOR POT, C/ PART. INSTANT., P/ DUAS LÂMP. FLUOR. TUBULAR, BASE BIPINO BILATERAL, 32W - 127V/220V</t>
  </si>
  <si>
    <t>REATOR ELETR. DE ALTO FATOR POT., C/ PART. INSTANT., P/ UMA LÂMP. FLUOR. TUBULAR, BASE BIPINO BILATERAL, 20W - 127V/220V</t>
  </si>
  <si>
    <t>REATOR ELETR. DE ALTO FATOR POT., C/ PART. INSTANT., P/ UMA LÂMP. FLUOR. TUBULAR, BASE BIPINO BILATERAL, 32W - 127V/220V</t>
  </si>
  <si>
    <t>REATOR ELETROMAGNÉTICO DE ALTO FATOR DE POTENCIA, PARA LÂMPADA VAPOR DE SÓDIO 150 W/220 V - EXTERNO</t>
  </si>
  <si>
    <t>REATOR ELETROMAGNÉTICO DE ALTO FATOR DE POTENCIA, PARA LÂMPADA VAPOR DE SÓDIO 150 W/220 V - INTEGRADO</t>
  </si>
  <si>
    <t>REATOR ELETROMAGNÉTICO DE ALTO FATOR DE POTENCIA, PARA LÂMPADA VAPOR DE SÓDIO 250 W/220 V - EXTERNO</t>
  </si>
  <si>
    <t>REATOR ELETROMAGNÉTICO DE ALTO FATOR DE POTENCIA, PARA LÂMPADA VAPOR DE SÓDIO 250 W/220 V - INTEGRADO</t>
  </si>
  <si>
    <t>REATOR ELETROMAGNÉTICO DE ALTO FATOR DE POTENCIA, PARA LÂMPADA VAPOR METÁLICO 250 W/220 V - EXTERNO</t>
  </si>
  <si>
    <t>REATOR ELETROMAGNÉTICO DE ALTO FATOR DE POTÊNCIA, PARA LÂMPADA VAPOR METÁLICO 250 W/220 V - INTEGRADO</t>
  </si>
  <si>
    <t>REATOR ELETROMAGNÉTICO DE ALTO FATOR DE POTÊNCIA, PARA LÂMPADA VAPOR METÁLICO 400 W/220 V - EXTERNO</t>
  </si>
  <si>
    <t>REATOR ELETROMAGNÉTICO DE ALTO FATOR DE POTÊNCIA, PARA LÂMPADA VAPOR METÁLICO 400 W/220 V - INTEGRADO</t>
  </si>
  <si>
    <t>REBITE ALUMINIO 525</t>
  </si>
  <si>
    <t>REBITE DE ALUMINIO 4/2</t>
  </si>
  <si>
    <t>RECEPTÁCULO DE PORCELANA COM PARAFUSO DE FIXAÇÃO COM ROSCA E-27</t>
  </si>
  <si>
    <t>RECEPTÁCULO DE PORCELANA COM PARAFUSO DE FIXAÇÃO COM ROSCA E-40</t>
  </si>
  <si>
    <t>RECEPTÁCULO LOUÇA</t>
  </si>
  <si>
    <t>REDUÇÃO 40 X 3/4"</t>
  </si>
  <si>
    <t>REGISTRO DE PRESSÃO 1416 C 23 3/4</t>
  </si>
  <si>
    <t>REGISTRO ESFERA PVC 3/4 COLA</t>
  </si>
  <si>
    <t>REGISTRO GAVETA 1509 C50 3/4</t>
  </si>
  <si>
    <t>REJUNTE BRANCO</t>
  </si>
  <si>
    <t>RELÉ FOTOELÉTRICO 50/60 HZ 110/220 V - 1200 VA, COMPLETO</t>
  </si>
  <si>
    <t>REPARO DE CAIXA ACOPLADA COMPLETA</t>
  </si>
  <si>
    <t>REPARO DE CAIXA ACOPLADA DE ENTRADA</t>
  </si>
  <si>
    <t>REPARO DE CAIXA ACOPLADA DE SAÍDA</t>
  </si>
  <si>
    <t>REPARO DE VÁLVULA DE CAIXA DE DESCARGA</t>
  </si>
  <si>
    <t>REPARO DE VÁLVULA DE DESCARGA (HIDRA)</t>
  </si>
  <si>
    <t>REPARO DE VÁLVULA HIDRA 2550</t>
  </si>
  <si>
    <t>RESISTÊNCIA PARA CHUVEIRO 5400W/220V</t>
  </si>
  <si>
    <t>RIPA EUCALIPTO 5 X1,5X4M</t>
  </si>
  <si>
    <t>ROLO DE ESPUMA 05 CM</t>
  </si>
  <si>
    <t>ROLO DE ESPUMA 09 CM</t>
  </si>
  <si>
    <t>ROLO DE ESPUMA 10 CM</t>
  </si>
  <si>
    <t>ROLO DE ESPUMA 15 CM</t>
  </si>
  <si>
    <t>ROLO DE ESPUMA 30 CM</t>
  </si>
  <si>
    <t>ROLO DE LÃ 10 CM</t>
  </si>
  <si>
    <t>ROLO DE LÃ 23 CM</t>
  </si>
  <si>
    <t>ROLO DE LÃ 30 CM</t>
  </si>
  <si>
    <t>ROLO DE LONA PLÁSTICA 100 X 8 MT (200 MICRA)</t>
  </si>
  <si>
    <t>ROLO DE LONA PLÁSTICA PRETA E BRANCA 100 X 8 MT (200 MICRA)</t>
  </si>
  <si>
    <t>ROLO DE POLIESTER 5 CM</t>
  </si>
  <si>
    <t>ROLO DE POLIESTER 9 CM</t>
  </si>
  <si>
    <t>ROLO LINHA PARA PEDREIRO 100 METROS</t>
  </si>
  <si>
    <t>SACA POLIA CORNETA 8"</t>
  </si>
  <si>
    <t>SARRAFO EUCAL. TRAT. 10 X 2,5 X 4 M</t>
  </si>
  <si>
    <t>SARRAFO EUCALIPTO TRATADO 15 X 2,5 X 4M</t>
  </si>
  <si>
    <t>SARRAFO EUCALIPTO TRATADO 5X2,5X2,0M</t>
  </si>
  <si>
    <t>SELADOR 18 L</t>
  </si>
  <si>
    <t>SENSOR DE PRESENÇA PARA TETO, COM FOTOCÉLULA, PARA QUALQUER LÂMPADA</t>
  </si>
  <si>
    <t>SERRA COPO AÇO RAP. 1,5/16</t>
  </si>
  <si>
    <t>SERRA MARMORE 220 V OU BIVOLT</t>
  </si>
  <si>
    <t>SERROTE GRANDE</t>
  </si>
  <si>
    <t>SERROTE MÉDIO</t>
  </si>
  <si>
    <t>SIFÃO SANFONADA UNIVERSAL</t>
  </si>
  <si>
    <t>SIRENE ELETRONICA EM CAIXA METALICA 4X4</t>
  </si>
  <si>
    <t>SOQUETE ANTIVIBRATÓRIO PARA LÂMPADA FLUORESCENTE COM PLACA DE PRESSÃO E FIXAÇÃO</t>
  </si>
  <si>
    <t>SPUDE PARA VASO SANITÁRIO</t>
  </si>
  <si>
    <t>SUPORTE DE PRATELEIRA</t>
  </si>
  <si>
    <t>SUPORTE P/SERRA COPO 3/8"</t>
  </si>
  <si>
    <t>SUPORTE PARA 4 ISOLADORES DE BAIXA TENSÃO (BRAQUET)</t>
  </si>
  <si>
    <t>TABUA EUCAL. TRAT. 30 X 2,5 X 3 M</t>
  </si>
  <si>
    <t>TÁBUA EUCALIPTO TRATADO 30 X 2,5 X 4M</t>
  </si>
  <si>
    <t>TABUAS. DE PINUS BRUTA</t>
  </si>
  <si>
    <t>TALHADEIRA BOCA GRANDE</t>
  </si>
  <si>
    <t>TALHADEIRA BOCA MÉDIA</t>
  </si>
  <si>
    <t>TAMPA CEGA EM PVC PARA CONDULETE 4 X 2"</t>
  </si>
  <si>
    <t>TAMPÃO ¾'</t>
  </si>
  <si>
    <t>TAMPÃO 1"</t>
  </si>
  <si>
    <t>TAVELA H-08</t>
  </si>
  <si>
    <t>TE PVC COLA 3/4</t>
  </si>
  <si>
    <t>TEE ESGOTO 150 X 100</t>
  </si>
  <si>
    <t>TEE ESGOTO 40 BRANCO</t>
  </si>
  <si>
    <t>TEE ESGOTO 6 X 4</t>
  </si>
  <si>
    <t>TEE ESGOTO DE 50 MM</t>
  </si>
  <si>
    <t>TEE MISTO AZUL 3/4</t>
  </si>
  <si>
    <t>TEE MISTO AZUL 3/4 X 1/2</t>
  </si>
  <si>
    <t>TEE ROSCAVEL PVC BRANCO 1/2"</t>
  </si>
  <si>
    <t>TEE ROSCAVEL PVC BRANCO 3/4</t>
  </si>
  <si>
    <t>TEE SOLD 20 MM</t>
  </si>
  <si>
    <t>TEE SOLD 25 MM</t>
  </si>
  <si>
    <t>TELHA GALVANIZADA</t>
  </si>
  <si>
    <t>TELHA ROMANA</t>
  </si>
  <si>
    <t>TERMINAL DE  PRESSÃO/COMPRESSÃO PARA CABO 25 MM²</t>
  </si>
  <si>
    <t>TERMINAL DE  PRESSÃO/COMPRESSÃO PARA CABO 35 MM²</t>
  </si>
  <si>
    <t>TERMINAL DE COMPRESSÃO PARA CABO DE 2,5 MM²</t>
  </si>
  <si>
    <t>TERMINAL DE PRESSÃO/COMPRESSÃO PARA CABO DE 50 MM²</t>
  </si>
  <si>
    <t>TERMINAL DE PRESSÃO/COMPRESSÃO PARA CABO DE 6 ATÉ 10 MM² TUBULAR</t>
  </si>
  <si>
    <t>THINNER 1 LT</t>
  </si>
  <si>
    <t>TIJOLO DE BARRO MACIÇO</t>
  </si>
  <si>
    <t>TINTA EPÓXI 3,6 L</t>
  </si>
  <si>
    <t>TINTA ESMALTE AZUL DEL REI 3,6L</t>
  </si>
  <si>
    <t>TINTA ESMALTE AZUL FRANÇA 3,6 L</t>
  </si>
  <si>
    <t>TINTA ESMALTE AZUL MARINHO 3,6 L</t>
  </si>
  <si>
    <t>TINTA ESMALTE SINTÉTICO LARANJA 3,6 L</t>
  </si>
  <si>
    <t>TINTA ESMALTE SINTÉTICO VERDE BANDEIRA 3,6 L</t>
  </si>
  <si>
    <t>TINTA ESMALTE SINTÉTICO VERDE FOLHA 3,6L</t>
  </si>
  <si>
    <t>TINTA LATEX 18 L AZUL FRANÇA</t>
  </si>
  <si>
    <t>TINTA LATEX 18 L BRANCO</t>
  </si>
  <si>
    <t>TINTA LATEX 18 L PVA</t>
  </si>
  <si>
    <t>TINTA PISO 3,6 L</t>
  </si>
  <si>
    <t>TOMADA 2P + T DE 10 A - 250 V, COMPLETA</t>
  </si>
  <si>
    <t>TOMADA 2P + T DE 20 A - 250 V, COMPLETA</t>
  </si>
  <si>
    <t>TOMADA 3P + T DE 63 A, BLINDADA, INDUSTRIAL DE EMBUTIR</t>
  </si>
  <si>
    <t>TOMADA DE CANALETA/PERFILADO UNIVERSAL 2P + T, COM CAIXA E TAMPA</t>
  </si>
  <si>
    <t>TOMADA SISTEMA X - 2P + T 10 A 250 V</t>
  </si>
  <si>
    <t>TORNEIRA B. MÓVEL LAV. 1195 52</t>
  </si>
  <si>
    <t>TORNEIRA B. MÓVEL PAREDE ¾</t>
  </si>
  <si>
    <t>TORNEIRA BICA MÓVEL BALCÃO ¾</t>
  </si>
  <si>
    <t>TORNEIRA BICA MOVEL PAREDE 116</t>
  </si>
  <si>
    <t>TORNEIRA DE MESA PARA LAVATÓRIO PRESSMATIC COMPACT</t>
  </si>
  <si>
    <t>TORNEIRA LAVATORIO ¾</t>
  </si>
  <si>
    <t>TORNEIRA PARA JARDIM METAL 3/4</t>
  </si>
  <si>
    <t>TORNEIRA PARA TANQUE METAL</t>
  </si>
  <si>
    <t>TORQUÊS MÉDIA</t>
  </si>
  <si>
    <t>TRAVA PARA DISJUNTOR</t>
  </si>
  <si>
    <t>TRELIÇA H12 6 X 12</t>
  </si>
  <si>
    <t>TRELIÇA H16 6 X 16</t>
  </si>
  <si>
    <t>TRELIÇA H8 6 X 8</t>
  </si>
  <si>
    <t>TRENA DE 5 METROS</t>
  </si>
  <si>
    <t>TRILHO PARA LAJE H-08</t>
  </si>
  <si>
    <t>TRINCHA 1"</t>
  </si>
  <si>
    <t>TRINCHA 2"</t>
  </si>
  <si>
    <t>TRINCHA 519 2</t>
  </si>
  <si>
    <t>TRINCHA 519 3</t>
  </si>
  <si>
    <t>TUBO DE ESGOTO 100</t>
  </si>
  <si>
    <t>TUBO DE ESGOTO 40</t>
  </si>
  <si>
    <t>TUBO DE ESGOTO 75</t>
  </si>
  <si>
    <t>TUBO DE LIGAÇÃO VASO SANITÁRIO 30 CM (PAREDE/VASO)</t>
  </si>
  <si>
    <t>TUBO ROSCÁVEL 6M 3/4</t>
  </si>
  <si>
    <t>UNIÃO 110 MARROM COLA</t>
  </si>
  <si>
    <t>UNIÃO 85 MARROM COLA</t>
  </si>
  <si>
    <t>VÁLVULA AMERICANA</t>
  </si>
  <si>
    <t>VALVULA DE MICTÓRIO AUTOMATICA TEMPORIZADA</t>
  </si>
  <si>
    <t>VALVULA DE RETENÇÃO SOLDÁVEL PVC 25 M M</t>
  </si>
  <si>
    <t>VÁLVULA HIDRA 25 X 50</t>
  </si>
  <si>
    <t>VALVULA LAVATORIO</t>
  </si>
  <si>
    <t>VÁLVULA MICTÓRIO CROMADA</t>
  </si>
  <si>
    <t>VALVULA REGULADORA REDUTORA DE PRESSÃO 3/4 LATÃO CENSI</t>
  </si>
  <si>
    <t>VARAS CANO ESGOTO DE 40 MM</t>
  </si>
  <si>
    <t>VARIADOR DE LUMINOSIDADE ROTATIVO ATÉ 1000 W, 127 V/220 V, COM PLACA</t>
  </si>
  <si>
    <t>VARIADOR DE VELOCIDADE PARA VENTILADOR 127V, 150W (APENAS MÓDULO)</t>
  </si>
  <si>
    <t>VARIADOR DE VELOCIDADE PARA VENTILADOR 220V, 250W (APENAS MÓDULO)</t>
  </si>
  <si>
    <t>VASO SANITÁRIO C/ CAIXA ACOPLADA</t>
  </si>
  <si>
    <t>VASO SANITÁRIO COMUM – ADULTO</t>
  </si>
  <si>
    <t>VASO SANITÁRIO INF</t>
  </si>
  <si>
    <t>VASSOURA DE PIAÇAVA</t>
  </si>
  <si>
    <t xml:space="preserve">VASSOURÃO GARI 30X10 CM CERDA NYLON </t>
  </si>
  <si>
    <t>VEDA CALHA</t>
  </si>
  <si>
    <t>VEDA ROSCA18mm x 50mt</t>
  </si>
  <si>
    <t>VERGALHÃO COM ROSCA, PORCA E ARRUELA DE DIÂMETRO 1/4 (TIRANTE)</t>
  </si>
  <si>
    <t>VERNIZ AUTOMOTIVO 3,6 L</t>
  </si>
  <si>
    <t>VERNIZ MARÍTIMO 3,6 L</t>
  </si>
  <si>
    <t>VIGA BALDRAME 10 X 25 X 5/16</t>
  </si>
  <si>
    <t>VIGA BALDRAME 15 X 25 X 5/16</t>
  </si>
  <si>
    <t>VIGA BALDRAME 17 X 30 X 3/8</t>
  </si>
  <si>
    <t>VIGA BALDRAME 18 X 20 X 3/8</t>
  </si>
  <si>
    <t>VIGA BALDRAME 18 X 20 X 5/16</t>
  </si>
  <si>
    <t>VIGA BALDRAME 20 X 27 X 3/8</t>
  </si>
  <si>
    <t>VIGA BALDRAME 20 X 27 X 5/16</t>
  </si>
  <si>
    <t>VIGA EUCALIPTO TRATADO 12 X 5,5 X 3,5M</t>
  </si>
  <si>
    <t>VIGA EUCALIPTO TRATADO 12 X 5,5 X 4M</t>
  </si>
  <si>
    <t>ZARCÃO 3,6 L</t>
  </si>
  <si>
    <t>Agricultura familiar - Abóbora</t>
  </si>
  <si>
    <t>Merenda</t>
  </si>
  <si>
    <t>267/2022</t>
  </si>
  <si>
    <t>Agricultura familiar - Abobrinha italiana</t>
  </si>
  <si>
    <t>Agricultura familiar - Banana nanica</t>
  </si>
  <si>
    <t>Agricultura familiar - Batata doce</t>
  </si>
  <si>
    <t>Agricultura familiar - Batata inglesa</t>
  </si>
  <si>
    <t>Agricultura familiar - Berinjela</t>
  </si>
  <si>
    <t>Agricultura familiar - Beterraba</t>
  </si>
  <si>
    <t>Agricultura familiar - Brócolis</t>
  </si>
  <si>
    <t>Agricultura familiar - Cebolinha/salsinha</t>
  </si>
  <si>
    <t>Agricultura familiar - Cenoura</t>
  </si>
  <si>
    <t>Agricultura familiar - Chuchu</t>
  </si>
  <si>
    <t>Agricultura familiar - Couve flor</t>
  </si>
  <si>
    <t>Agricultura familiar - Couve manteiga</t>
  </si>
  <si>
    <t>Agricultura familiar - Inhame</t>
  </si>
  <si>
    <t>Agricultura familiar - Mamão formosa</t>
  </si>
  <si>
    <t>Agricultura familiar - Repolho verde</t>
  </si>
  <si>
    <t>Agricultura familiar - Tomate salada</t>
  </si>
  <si>
    <t>MERENDA ESCOLAR – CARDÁPIO 4 (LANCHE DA TARDE – Parcial)</t>
  </si>
  <si>
    <t>211/2023</t>
  </si>
  <si>
    <t>MERENDA ESCOLAR - CARDÁPIO 4 (LANCHE DA TARDE - Parcial)</t>
  </si>
  <si>
    <t>MERENDA ESCOLAR – CARDÁPIO 5 (Merenda Padrão Educação Infantil – Parcial)</t>
  </si>
  <si>
    <t>MERENDA ESCOLAR - CARDÁPIO 5 (Merenda Padrão Educação Infantil - Parcial)</t>
  </si>
  <si>
    <t>MERENDA ESCOLAR - CARDÁPIO 6 (Merenda Padrão Ensino Fundamental - Parcial)</t>
  </si>
  <si>
    <t>MERENDA ESCOLAR – CARDÁPIO 6 (Merenda Padrão Ensino Fundamental – Parcial)</t>
  </si>
  <si>
    <t>MERENDA ESCOLAR - CARDÁPIO 7 (Merenda Integral/PEATI - Parcial)</t>
  </si>
  <si>
    <t>MERENDA ESCOLAR – CARDÁPIO 7 (Merenda Integral/PEATI – Parcial)</t>
  </si>
  <si>
    <t>MERENDA ESCOLAR - CARDÁPIO 8 (Merenda Padrão EJA/APAE/Rurais - Parcial)</t>
  </si>
  <si>
    <t>MERENDA ESCOLAR – CARDÁPIO 8 (Merenda Padrão EJA/APAE/Rurais – Parcial)</t>
  </si>
  <si>
    <t>MERENDA ESCOLAR – CARDÁPIO AEE C 11</t>
  </si>
  <si>
    <t>MERENDA ESCOLAR – CARDÁPIO C 3 (DESJEJUM – Parcial)</t>
  </si>
  <si>
    <t>MERENDA ESCOLAR - CARDÁPIO C 3 (DESJEJUM - Parcial)</t>
  </si>
  <si>
    <t>MERENDA ESCOLAR - CARDÁPIO C1 I</t>
  </si>
  <si>
    <t>MERENDA ESCOLAR - CARDÁPIO C1 M/T</t>
  </si>
  <si>
    <t>MERENDA ESCOLAR - CARDÁPIO C10</t>
  </si>
  <si>
    <t>MERENDA ESCOLAR - CARDÁPIO C2 I</t>
  </si>
  <si>
    <t>MERENDA ESCOLAR - CARDÁPIO C2 M/T</t>
  </si>
  <si>
    <t>MERENDA ESCOLAR - CARDÁPIO C3</t>
  </si>
  <si>
    <t>MERENDA ESCOLAR - CARDÁPIO C4</t>
  </si>
  <si>
    <t>MERENDA ESCOLAR - CARDÁPIO C5</t>
  </si>
  <si>
    <t>MERENDA ESCOLAR - CARDÁPIO C6</t>
  </si>
  <si>
    <t>MERENDA ESCOLAR - CARDÁPIO C7</t>
  </si>
  <si>
    <t>MERENDA ESCOLAR - CARDÁPIO C8</t>
  </si>
  <si>
    <t>MERENDA ESCOLAR - CARDÁPIO C9</t>
  </si>
  <si>
    <t>MERENDA ESCOLAR - KIT REFEIÇÃO AEE</t>
  </si>
  <si>
    <t>MERENDA ESCOLAR CARDAPIO N.10 (KIT LANCHE)</t>
  </si>
  <si>
    <t>Mobiliário creche Comerciários</t>
  </si>
  <si>
    <t>Mobiliário</t>
  </si>
  <si>
    <t>SERVIÇOS DIVERSOS - Equipamentos em Comodato - Câmera 12 MESES</t>
  </si>
  <si>
    <t>453/2021</t>
  </si>
  <si>
    <t>SERVIÇOS DIVERSOS - Equipamentos em Comodato - Central com teclado (TCP IP + GPRS) 12 MESES</t>
  </si>
  <si>
    <t>SERVIÇOS DIVERSOS - Equipamentos em Comodato - DVR 16 Canais 12 MESES</t>
  </si>
  <si>
    <t>SERVIÇOS DIVERSOS - Equipamentos em Comodato - DVR 8 Canais 12 MESES</t>
  </si>
  <si>
    <t>SERVIÇOS DIVERSOS - Equipamentos em Comodato - HD 2 TB 12 MESES</t>
  </si>
  <si>
    <t>SERVIÇOS DIVERSOS - Equipamentos em Comodato - IVP 12 MESES</t>
  </si>
  <si>
    <t>SERVIÇOS DIVERSOS - Equipamentos em Comodato - IVP Semi Aberto 12 MESES</t>
  </si>
  <si>
    <t>SERVIÇOS DIVERSOS - Equipamentos em Comodato - Monitor 21,5" 12 MESES</t>
  </si>
  <si>
    <t>SERVIÇOS DIVERSOS - Equipamentos em Comodato - Monitoramento 24H IP+GPRS 12 MESES</t>
  </si>
  <si>
    <t>SERVIÇOS DIVERSOS - Equipamentos em Comodato - Nobreak 1200va 12 MESES</t>
  </si>
  <si>
    <t>SERVIÇOS DIVERSOS - Equipamentos em Comodato - Roteador 300 mbps 3G 12 MESES</t>
  </si>
  <si>
    <t>Serviços de civil em instalações prediais de unidades escolares</t>
  </si>
  <si>
    <t>ANO</t>
  </si>
  <si>
    <t>Obras</t>
  </si>
  <si>
    <t>040/2022</t>
  </si>
  <si>
    <t>Serviços de elétrica em instalações prediais de unidades escolares</t>
  </si>
  <si>
    <t>Serviços de pintura em instalações prediais de unidades escolares</t>
  </si>
  <si>
    <t>Serviços externos em instalações prediais de unidades escolares</t>
  </si>
  <si>
    <t>Água galão 20 litros</t>
  </si>
  <si>
    <t>SMEL</t>
  </si>
  <si>
    <t>287/2023</t>
  </si>
  <si>
    <t xml:space="preserve">Água sem gás 500ml fardo 12 unidades </t>
  </si>
  <si>
    <t>Computadores desktop (CPU, tela, mouse, teclado)</t>
  </si>
  <si>
    <t>Copo de água mineral</t>
  </si>
  <si>
    <t>Estabilizador</t>
  </si>
  <si>
    <t>Filtro de linha</t>
  </si>
  <si>
    <t>Galão para água 20 litros</t>
  </si>
  <si>
    <t>Locação de galpão para uso como almoxarifado da SMEL</t>
  </si>
  <si>
    <t>305/2023</t>
  </si>
  <si>
    <t>Nobreak</t>
  </si>
  <si>
    <t>Serviços de telecomunicações nas modalidades STFC (serviço telefônico fixo comutado), linhas digitais e analógicas com locação de equipamentos PABX por 12 (doze) meses.</t>
  </si>
  <si>
    <t>Telefonia</t>
  </si>
  <si>
    <t>715/2019</t>
  </si>
  <si>
    <t>Cera de carnauba automotiva 150g cx/24 unid</t>
  </si>
  <si>
    <t>Transporte</t>
  </si>
  <si>
    <t>Diesel</t>
  </si>
  <si>
    <t>LT</t>
  </si>
  <si>
    <t>578/2018</t>
  </si>
  <si>
    <t>Seguro veículo 4 passageiros adaptado</t>
  </si>
  <si>
    <t>Seguro veículo 5 passageiros</t>
  </si>
  <si>
    <t>Seguro veículo 7 passageiros</t>
  </si>
  <si>
    <t>Seguro veículo caminhonete 4x4</t>
  </si>
  <si>
    <t>Seguro veículo DKI 0091</t>
  </si>
  <si>
    <t>Seguro veículo EEF 7923</t>
  </si>
  <si>
    <t>Seguro veículo ETE 0288</t>
  </si>
  <si>
    <t>Seguro veículo ELO 1908 (Gol)</t>
  </si>
  <si>
    <t>Seguro veículo FDO 0358 (Gol)</t>
  </si>
  <si>
    <t>Seguro veículo DHU 0308 (Gol)</t>
  </si>
  <si>
    <t>Seguro veículo EPA 7060 (Microôniubs)</t>
  </si>
  <si>
    <t>Seguro veículo FMX 9358 (Ônibus Marcopolo)</t>
  </si>
  <si>
    <t>Seguro veículo FPB7F29 (Doblô)</t>
  </si>
  <si>
    <t>Seguro veículo FSX0B53 (Fiorino)</t>
  </si>
  <si>
    <t>Seguro veículo furgão de carga</t>
  </si>
  <si>
    <t>Seguro veículo GIQ1F33 (Doblô)</t>
  </si>
  <si>
    <t>Seguro veículo ônibus adaptado</t>
  </si>
  <si>
    <t>Seguro veículo ônibus passageiros</t>
  </si>
  <si>
    <t>Seguro veículo SDC1J23 (Caminhão Iveco)</t>
  </si>
  <si>
    <t>Seguro veículo van 23 lugares</t>
  </si>
  <si>
    <t>Silicone gel automotivo 400g cx /24</t>
  </si>
  <si>
    <t>Transporte escolar com micro-ônibus</t>
  </si>
  <si>
    <t>KM</t>
  </si>
  <si>
    <t>17/2017</t>
  </si>
  <si>
    <t>Transporte escolar com micro-ônibus adaptado</t>
  </si>
  <si>
    <t>Transporte escolar com ônibus</t>
  </si>
  <si>
    <t>Transporte escolar com van</t>
  </si>
  <si>
    <t>nº do item</t>
  </si>
  <si>
    <t>descrição sucinta</t>
  </si>
  <si>
    <t>tipo de item</t>
  </si>
  <si>
    <t>subitem</t>
  </si>
  <si>
    <t>quantidade de itens</t>
  </si>
  <si>
    <t>ramo de atividade</t>
  </si>
  <si>
    <t>valor total estimado</t>
  </si>
  <si>
    <t>participação de recursos externos</t>
  </si>
  <si>
    <t>grau de prioridade</t>
  </si>
  <si>
    <t>data desejada do contrato ou aditivo</t>
  </si>
  <si>
    <t>renovação de contrato</t>
  </si>
  <si>
    <t>secretaria ou orgão requisitante</t>
  </si>
  <si>
    <t>material esportivo</t>
  </si>
  <si>
    <t>permanente</t>
  </si>
  <si>
    <t>esportivo</t>
  </si>
  <si>
    <t>alta</t>
  </si>
  <si>
    <t>Sec. de Esp. e Lazer</t>
  </si>
  <si>
    <t>uniforme esportivo</t>
  </si>
  <si>
    <t>premiação esportiva</t>
  </si>
  <si>
    <t>kit lanche da delegação esportiva</t>
  </si>
  <si>
    <t>refeição</t>
  </si>
  <si>
    <t>material de academia</t>
  </si>
  <si>
    <t>medio</t>
  </si>
  <si>
    <t>material de limpeza</t>
  </si>
  <si>
    <t>material de limpeza de piscina</t>
  </si>
  <si>
    <t>limpeza de piscina</t>
  </si>
  <si>
    <t>vestimenta para cogreografia do JOMI</t>
  </si>
  <si>
    <t>vestimenta</t>
  </si>
  <si>
    <t>transporte de delegação esportiva</t>
  </si>
  <si>
    <t>serviço</t>
  </si>
  <si>
    <t>km/ano</t>
  </si>
  <si>
    <t xml:space="preserve">transporte </t>
  </si>
  <si>
    <t>serviço de limpeza de piscIna</t>
  </si>
  <si>
    <t>mês/ano</t>
  </si>
  <si>
    <t>arbitragem esportiva</t>
  </si>
  <si>
    <t>assessoria</t>
  </si>
  <si>
    <t>media</t>
  </si>
  <si>
    <t>serviço de manutenção aquecedores da piscina</t>
  </si>
  <si>
    <t>manutenção</t>
  </si>
  <si>
    <t xml:space="preserve">serviço de limpeza de fossa </t>
  </si>
  <si>
    <t>limpeza de fossa</t>
  </si>
  <si>
    <t>baixa</t>
  </si>
  <si>
    <t>serviço de manutenção equipamentos da academia</t>
  </si>
  <si>
    <t>costura da vestimenta para cogreografia do JOMI</t>
  </si>
  <si>
    <t>buffet completo para jogos regionais</t>
  </si>
  <si>
    <t>hospedagem de delegação esportiva</t>
  </si>
  <si>
    <t>hospedagem</t>
  </si>
  <si>
    <t>passagem aerea</t>
  </si>
  <si>
    <t>passagem</t>
  </si>
  <si>
    <t>brinquedos para eventos recreativos</t>
  </si>
  <si>
    <t>realização de eventos esportivos</t>
  </si>
  <si>
    <t>Nº do Item</t>
  </si>
  <si>
    <t>Qtde. de Itens</t>
  </si>
  <si>
    <t>Valor Unitário</t>
  </si>
  <si>
    <t>Recursos Externos?</t>
  </si>
  <si>
    <t>Renovação?</t>
  </si>
  <si>
    <t>Computador Desktop processador 4 GHz 6 Núcleos 12MB cache 4TB  HD 16GB RAM (ou superior)</t>
  </si>
  <si>
    <t>Informática/Eletrônicos</t>
  </si>
  <si>
    <t>Secretaria de Finanças</t>
  </si>
  <si>
    <t>Pacote</t>
  </si>
  <si>
    <t>Material de Expediente</t>
  </si>
  <si>
    <t>Papel A4 500 folhas</t>
  </si>
  <si>
    <t>Resma</t>
  </si>
  <si>
    <t xml:space="preserve">Cadeiras de Escritório Presidente </t>
  </si>
  <si>
    <t>Mobiliário/Equipamentos</t>
  </si>
  <si>
    <t>Canetas Esferográficas</t>
  </si>
  <si>
    <t>Telefone sem fio 6 Ramais</t>
  </si>
  <si>
    <t>Cola Líquida 90g lavável</t>
  </si>
  <si>
    <t>Cola Bastão 40g lavável</t>
  </si>
  <si>
    <t>Grampos Galvanizados 26/6</t>
  </si>
  <si>
    <t>Grampos Galvanizados 23/10</t>
  </si>
  <si>
    <t>Grampeador 23/13</t>
  </si>
  <si>
    <t>Grampeador</t>
  </si>
  <si>
    <t>Grampeador 100 folhas</t>
  </si>
  <si>
    <t>Lápis nº 2</t>
  </si>
  <si>
    <t>Borracha c/ capa plástica</t>
  </si>
  <si>
    <t>Lapiseira 0.7mm</t>
  </si>
  <si>
    <t>Clipes de papel 2/0</t>
  </si>
  <si>
    <t>Clipes de papel 3/0 500g</t>
  </si>
  <si>
    <t>Clipes de papel 6/0</t>
  </si>
  <si>
    <t>Caixas de arquivo morto propileno azul 140x360x260mm</t>
  </si>
  <si>
    <t>Bebedouro de água - tipo Coluna, refrigerado por Compressor</t>
  </si>
  <si>
    <t>Café moído 500g</t>
  </si>
  <si>
    <t>Gêneros Alimentícios</t>
  </si>
  <si>
    <t>Caneta Marca Texto</t>
  </si>
  <si>
    <t>Cortina Persiana de Rolo</t>
  </si>
  <si>
    <t>Garrafa Términa Inox 1,8L</t>
  </si>
  <si>
    <t>Galão de água 20 litros</t>
  </si>
  <si>
    <t>Açúcar Refinado 1 kg</t>
  </si>
  <si>
    <t>Copo plástico 180ml</t>
  </si>
  <si>
    <t>Outros</t>
  </si>
  <si>
    <t>Fita adesiva 45mmX50m Transparente</t>
  </si>
  <si>
    <t>Fita adesiva 12mmX50m Transparente</t>
  </si>
  <si>
    <t>Livro de Protocolos</t>
  </si>
  <si>
    <t>Pen drive 16GB</t>
  </si>
  <si>
    <t>Elástico Latex 100g</t>
  </si>
  <si>
    <t>Grafite 0.7mm</t>
  </si>
  <si>
    <t>Capas para processo timbrada "SECRETARIA DE FINANÇAS" - cor amarela</t>
  </si>
  <si>
    <t>Mousepad Ergonômico</t>
  </si>
  <si>
    <t>Aquisição de combustíveis</t>
  </si>
  <si>
    <t>Litro</t>
  </si>
  <si>
    <t>Aquisição de pneus e câmaras</t>
  </si>
  <si>
    <t>Pasta Organizadora A/Z</t>
  </si>
  <si>
    <t>Bobina papel 57mmx30m</t>
  </si>
  <si>
    <t>Régua de plásitco 30cm</t>
  </si>
  <si>
    <t>Envelope branco timbrado 260x360mm</t>
  </si>
  <si>
    <t>Envelope branco timbrado 115x229mm</t>
  </si>
  <si>
    <t>Envelope Pardo 162x229mm</t>
  </si>
  <si>
    <t>Saco plásico A4, com 4 furos</t>
  </si>
  <si>
    <t>Extrator de grampos</t>
  </si>
  <si>
    <t>Fita para Calculadora Olivetti Logos 802b 13mmx4m</t>
  </si>
  <si>
    <t>Unidae</t>
  </si>
  <si>
    <t>Papel Higiênico</t>
  </si>
  <si>
    <t>Papel toalha interfolhado</t>
  </si>
  <si>
    <t>Grampos galvanizados 23/13</t>
  </si>
  <si>
    <t>Ar condicionado 12.000 BTUs</t>
  </si>
  <si>
    <t>Copo plástico 50ml</t>
  </si>
  <si>
    <t>Notebook processador 4 GHz 6 Núcleos 12MB cache 1TB RAM 16 GB DDR5 + Pacote Office</t>
  </si>
  <si>
    <t>Estantes de aço 198 x 92 x 30,com 6 bandejas com reforço central e três dobras laterais, feito em chapa 22 (0,75 mm espessura), cor cinza e com sapatas de plástico pretas. Peso suportado por bandeja: 105kg</t>
  </si>
  <si>
    <t>Veículo zero km, motor 1.6, 16v, câmbio manual, com ar-condicionado, freio ABS, combustível FLEX, 5 lugares, 4 portas</t>
  </si>
  <si>
    <t>Tab S8 com Caneta Android 12 - 5G 11” Wi-Fi 256GB Octa-Core 12MP</t>
  </si>
  <si>
    <t>Pasta Suspensa com hastes</t>
  </si>
  <si>
    <t>Perfurador de papel c/ 2 furos</t>
  </si>
  <si>
    <t>Alcool 70% garrafa 1 litro</t>
  </si>
  <si>
    <t>Saco para lixo 15 litros</t>
  </si>
  <si>
    <t>Saco para lixo 110 litros</t>
  </si>
  <si>
    <t>Carimbo automático (confecção)</t>
  </si>
  <si>
    <t>Tinta para carimbo 40 ml- cor vermelha</t>
  </si>
  <si>
    <t>Tinta para carimbo 40 ml- cor azul</t>
  </si>
  <si>
    <t>Tinta para carimbo 40 ml- cor preta</t>
  </si>
  <si>
    <t>Continuidade dos Serviços de Software (EMBRAS)</t>
  </si>
  <si>
    <t>Serviços de limpeza e manutenção de ar condicionado</t>
  </si>
  <si>
    <t>Continuidade dos serviços de Impressão</t>
  </si>
  <si>
    <t>Continuidade dos serviços de internet (e-mail e rede)</t>
  </si>
  <si>
    <t>Continuidade dos serviços de telefonia</t>
  </si>
  <si>
    <t>Serviços de digitalização de documentos</t>
  </si>
  <si>
    <t>Folhas A4</t>
  </si>
  <si>
    <t>Serviços de sistema de Georreferênciamento</t>
  </si>
  <si>
    <t>Serviços bancários para arrecadação de tributos</t>
  </si>
  <si>
    <t>Serviços de manutenção de veículo</t>
  </si>
  <si>
    <t>Serviços de sistema de Protocolo Digital onine</t>
  </si>
  <si>
    <t>Continuidade da publicação de atos oficiais</t>
  </si>
  <si>
    <t>Continuidadedos serviços de impressão de carnê de tributos</t>
  </si>
  <si>
    <t>Fundo Social</t>
  </si>
  <si>
    <t>Mural Magnético 50 x 80 cm</t>
  </si>
  <si>
    <t>Carro de passeio 5 portas</t>
  </si>
  <si>
    <t>NoBreak Back-UPS 1200VA/600-Watt Bivolt/115V</t>
  </si>
  <si>
    <t>MANUTENÇÃO  E LIMPEZA A CADA 6 MESES DE UM (1)  AR CONDICIONADO DA MARCA L.G.</t>
  </si>
  <si>
    <t>não contínuo</t>
  </si>
  <si>
    <t>SERV</t>
  </si>
  <si>
    <t xml:space="preserve">MANUTENÇÃO E TROCA DE TORNER DA IMPRESSORA  EPSON/ FAX/SCANNER (Patr. 4434) MODELO WF M5799  (12 meses) </t>
  </si>
  <si>
    <t>contínuo</t>
  </si>
  <si>
    <t xml:space="preserve"> Gabinete</t>
  </si>
  <si>
    <t>Marcador de Páginas Adesivo Index Film</t>
  </si>
  <si>
    <t>Tesoura Multiuso Mundial Creative, Preto Aço Inoxidável, Resina Termoplástica</t>
  </si>
  <si>
    <t>Capa para processo  cartolina com timbre da Prefeitura na cor azul A4</t>
  </si>
  <si>
    <t>Apontador Colorido com Deposito</t>
  </si>
  <si>
    <t>Kit Xícaras de Café Tramontina Paola em Porcelana 100 ml 12 Peças</t>
  </si>
  <si>
    <t>GABINETE</t>
  </si>
  <si>
    <t xml:space="preserve">
Pegador P/salada Arienzo 20, 5 Cm- Se Brinox Aço InoxPegador P/salada Arienzo 20, 5 Cm- Se Brinox Aço Inox</t>
  </si>
  <si>
    <t xml:space="preserve">
Cafeteira, Coffe Express 15 Bar, 2 xicaras, Preto, 127V, PhilcoCafeteira, Coffe Express 15 Bar, 2 xicaras, Preto, 127V, Philco</t>
  </si>
  <si>
    <t xml:space="preserve">
Garrafa Térmica Alemã Preta ECO 1 Litro AlfiGarrafa Térmica Alemã Preta ECO 1 Litro Alfi</t>
  </si>
  <si>
    <t>Açucareiro de Cristal Deli 10cm x 10cm - Lyor</t>
  </si>
  <si>
    <t>Conjunto de colheres para café Tramontina Havai aço inox 6 peças</t>
  </si>
  <si>
    <t>Conjunto 6 Copos Longos 360ml </t>
  </si>
  <si>
    <t>Pote De Vidro Temperos Bomboniere 300ml Kit 4 Pçs p/Organizar Biscoito Doces Porta Mantimentos Baleiro Decorativo Sibér</t>
  </si>
  <si>
    <t>Porta Guardanapos Future Cromado</t>
  </si>
  <si>
    <t>Espátula para Bolo Pacific 26 cm</t>
  </si>
  <si>
    <t>Mimo Style Bandeja Retangular</t>
  </si>
  <si>
    <t>Mimo Style Faca Para Pão 32cm</t>
  </si>
  <si>
    <t>Estojo com 6 Pratos Sobremesa. Modelo Redondo Voyage Coup. Branca</t>
  </si>
  <si>
    <t>Jarra 2.270 Lts Incolor</t>
  </si>
  <si>
    <t>Conjunto De Garfos Para Torta Aço Inox 6 Pç Tramontina Inox</t>
  </si>
  <si>
    <t>Suco de fruta (embalagem de 1 litro)</t>
  </si>
  <si>
    <t>Pão de metro (1 baguete de sal de 1m,
300g de maionese, 1 cabeça de alface,
4 tomates, 200 g de queijo prato, 200 g
de presunto, 200 g de salame, 100 g de
azeitona verde, 20 palitos)</t>
  </si>
  <si>
    <t xml:space="preserve">                   Pão de queijo</t>
  </si>
  <si>
    <t>kilo</t>
  </si>
  <si>
    <t>Pão de frios (presunto e queijo) 50 g</t>
  </si>
  <si>
    <t>Bolo Redondo</t>
  </si>
  <si>
    <t>salgados assados</t>
  </si>
  <si>
    <t>Samantha ( ovo e açúcar)</t>
  </si>
  <si>
    <t>Croissant (presunto, queijo ou frango)
50 g</t>
  </si>
  <si>
    <t>Carolinas recheadas ( doce de leite , limão  ou
chocolate)</t>
  </si>
  <si>
    <t>refrigerante 2 litros-coca ou guarana</t>
  </si>
  <si>
    <t>SanDisk Flash Drive USB 3.1 Ultra Luxe de 512 GB - SDCZ74-512G-G46, preto</t>
  </si>
  <si>
    <t>Fragmentadora de papel 10 folhas em partículas / CD / Cartão com cesto 110v C1000 App-tech CX 1 UN</t>
  </si>
  <si>
    <t>MANUTENÇÃO  E LIMPEZA A CADA 6 MESES DE UM (1)  AR CONDICIONADO DA MARCA SAMSUNG</t>
  </si>
  <si>
    <t>Gabinete</t>
  </si>
  <si>
    <t>Água mineral sem gás- fardo com 12 unidades 500/510 ml</t>
  </si>
  <si>
    <t>fardo</t>
  </si>
  <si>
    <t>Água mineral com gás - fardo com 12 unidades. 500/510 ml</t>
  </si>
  <si>
    <t>CONTROLE INTERNO / GABINETE</t>
  </si>
  <si>
    <t xml:space="preserve">  Capa para processo cartolina  com timbre da Prefeitura na cor verde A4</t>
  </si>
  <si>
    <t>Persiana de Rolo na cor cinza claro 2,00 x 2,25</t>
  </si>
  <si>
    <t>Cafeteira CP38 Thermo Jarra de Inox</t>
  </si>
  <si>
    <t>Cadeira para Escritório Giratória com apoio para os pés Big Boss - Preta</t>
  </si>
  <si>
    <t>Headset com fio e microfone (fone de ouvido com microfone)</t>
  </si>
  <si>
    <t>Scaner KV-SL 1066B2 (Bivolt), 65PPM, Duplex, PDF, 5.000/dia, Sensor Ultrassônico, Mecanismo confiável evita dupla alimentação</t>
  </si>
  <si>
    <t>CD´s RW</t>
  </si>
  <si>
    <t>Secretaria de Governança Digital</t>
  </si>
  <si>
    <t>SECRETARIA DE GOVERNO</t>
  </si>
  <si>
    <t xml:space="preserve">Data desejada </t>
  </si>
  <si>
    <t>Computadores Desktop</t>
  </si>
  <si>
    <t>Fevereiro</t>
  </si>
  <si>
    <t xml:space="preserve">Mesas para escritório </t>
  </si>
  <si>
    <t>Cursos de Especialização</t>
  </si>
  <si>
    <t xml:space="preserve">   </t>
  </si>
  <si>
    <t xml:space="preserve">                           </t>
  </si>
  <si>
    <t xml:space="preserve">                  Especialização</t>
  </si>
  <si>
    <t xml:space="preserve">                     Cadeiras (Presidente) </t>
  </si>
  <si>
    <t xml:space="preserve">  Permanente</t>
  </si>
  <si>
    <t xml:space="preserve">                      Cadeiras (Secretário)</t>
  </si>
  <si>
    <t xml:space="preserve">                   Escritório</t>
  </si>
  <si>
    <t xml:space="preserve">  Armários</t>
  </si>
  <si>
    <t xml:space="preserve"> Material</t>
  </si>
  <si>
    <t>Monitores</t>
  </si>
  <si>
    <t>Teclados</t>
  </si>
  <si>
    <t>Arquivo deslizante</t>
  </si>
  <si>
    <t xml:space="preserve"> Prateleiras</t>
  </si>
  <si>
    <t>Mesa de Reunião</t>
  </si>
  <si>
    <t xml:space="preserve">                            Notebook</t>
  </si>
  <si>
    <t>Escritorio</t>
  </si>
  <si>
    <t>Retroprojetor</t>
  </si>
  <si>
    <t>Scanners</t>
  </si>
  <si>
    <t>Bebedouro</t>
  </si>
  <si>
    <t>Geladeira</t>
  </si>
  <si>
    <t>Apontador</t>
  </si>
  <si>
    <t>Borracha</t>
  </si>
  <si>
    <t>Caneta Esferográfica Preta</t>
  </si>
  <si>
    <t>Caneta Esferográfica Azul</t>
  </si>
  <si>
    <t>Caderno de Protocolo</t>
  </si>
  <si>
    <t>Clips 3/0</t>
  </si>
  <si>
    <t>caixas</t>
  </si>
  <si>
    <t>Capa de processo</t>
  </si>
  <si>
    <t>Referente Ata 158/2022</t>
  </si>
  <si>
    <t>Caixa de arquivo polionda</t>
  </si>
  <si>
    <t>Cola Branca</t>
  </si>
  <si>
    <t xml:space="preserve">Elástico </t>
  </si>
  <si>
    <t>pacote</t>
  </si>
  <si>
    <t>Blocos com 100 folhas Papel Cartão (Leis)</t>
  </si>
  <si>
    <t>bloco</t>
  </si>
  <si>
    <t>Referente Ata 161/2022</t>
  </si>
  <si>
    <t>Envelope timbrado Grande</t>
  </si>
  <si>
    <t>Extrator de Grampo</t>
  </si>
  <si>
    <t>Estilete</t>
  </si>
  <si>
    <t>Fita Adesiva Larga</t>
  </si>
  <si>
    <t>Fita adesiva Durex</t>
  </si>
  <si>
    <t>Furador</t>
  </si>
  <si>
    <t>Grampos p/ grampeador 26/6</t>
  </si>
  <si>
    <t>Telefones sem fio</t>
  </si>
  <si>
    <t>HD Externo 1TB</t>
  </si>
  <si>
    <t>Lapis preto</t>
  </si>
  <si>
    <t>Pen Drive 64gb</t>
  </si>
  <si>
    <t>Régua 30cm</t>
  </si>
  <si>
    <t>Sulfite</t>
  </si>
  <si>
    <t>Tesoura Grande</t>
  </si>
  <si>
    <t>Carimbo</t>
  </si>
  <si>
    <t>Switch</t>
  </si>
  <si>
    <t>Serviço Cartório Registro Civil</t>
  </si>
  <si>
    <t>12 meses</t>
  </si>
  <si>
    <t>Serviço Cartório de Imóveis</t>
  </si>
  <si>
    <t>Alerte</t>
  </si>
  <si>
    <t>Serviço de Internet</t>
  </si>
  <si>
    <t>Serviço de Impressos (Maquim)</t>
  </si>
  <si>
    <t>150000 (impressões/ano)</t>
  </si>
  <si>
    <t>Galão</t>
  </si>
  <si>
    <t>Caneta Esferográfica Vermelha</t>
  </si>
  <si>
    <t>Caderno Grande Capa Dura</t>
  </si>
  <si>
    <t>Caderno de capa dura numerado</t>
  </si>
  <si>
    <t>Envelope Ofício Branco timbrado</t>
  </si>
  <si>
    <t>Tinta Carimbo</t>
  </si>
  <si>
    <t>Copo descartável (água)</t>
  </si>
  <si>
    <t>Álcool 70%</t>
  </si>
  <si>
    <t>Frasco</t>
  </si>
  <si>
    <t>Lustra Móvel</t>
  </si>
  <si>
    <t>Pasta com elástico</t>
  </si>
  <si>
    <t>Saco plástico</t>
  </si>
  <si>
    <t>Desinfetante 2L</t>
  </si>
  <si>
    <t>Pano de chão</t>
  </si>
  <si>
    <t>Rodo 30cm  com cabo</t>
  </si>
  <si>
    <t>Vassoura de Nylon 30cm com cabo</t>
  </si>
  <si>
    <t>Saco de lixo 40L com 100 unidades</t>
  </si>
  <si>
    <t>litros</t>
  </si>
  <si>
    <t>Aparelhos de ar condicionado</t>
  </si>
  <si>
    <t>Quantid. de Itens</t>
  </si>
  <si>
    <t>Valor total estimado (R$ x quantidade)</t>
  </si>
  <si>
    <t>Participa-ção de recursos externos</t>
  </si>
  <si>
    <t>Renova-ção de contrato</t>
  </si>
  <si>
    <t>Computador</t>
  </si>
  <si>
    <t>Secretaria de Juventudes</t>
  </si>
  <si>
    <t>Casa Juvent.</t>
  </si>
  <si>
    <t>Monitor</t>
  </si>
  <si>
    <t>Teclado</t>
  </si>
  <si>
    <t>Mouse</t>
  </si>
  <si>
    <t>Impressora multifuncional</t>
  </si>
  <si>
    <t>Toner</t>
  </si>
  <si>
    <t>Papel sulfite A4</t>
  </si>
  <si>
    <t>resmas de sulfite</t>
  </si>
  <si>
    <t>Purificador de água</t>
  </si>
  <si>
    <t>Eletroportátil</t>
  </si>
  <si>
    <t>Galão de água (vasilhame)</t>
  </si>
  <si>
    <t>Distribuidor de água</t>
  </si>
  <si>
    <t>Água mineral</t>
  </si>
  <si>
    <t>Galão de 5 litros (média 1/semana)</t>
  </si>
  <si>
    <t>Copo descartável p/ água</t>
  </si>
  <si>
    <t>12 pacotes de 100 copos de 200 ml</t>
  </si>
  <si>
    <t>Descartáveis</t>
  </si>
  <si>
    <t>Microondas 21 litros</t>
  </si>
  <si>
    <t>Eletroportáteis</t>
  </si>
  <si>
    <t>Fósforos</t>
  </si>
  <si>
    <t>pacote de 10 caixas</t>
  </si>
  <si>
    <t>Utensílio de cozinha</t>
  </si>
  <si>
    <t>Gás de cozinha</t>
  </si>
  <si>
    <t>butijão - refil (1 a cada 4 meses)</t>
  </si>
  <si>
    <t>Distribuidor de gás</t>
  </si>
  <si>
    <t>Carro</t>
  </si>
  <si>
    <t>Van</t>
  </si>
  <si>
    <t>Transporte de servidores e jovens em carro/van</t>
  </si>
  <si>
    <t>Km/ano</t>
  </si>
  <si>
    <t>Padaria/lanche</t>
  </si>
  <si>
    <t>R$ 100,00 x 02 por semana</t>
  </si>
  <si>
    <t>Alimentício</t>
  </si>
  <si>
    <t>Pó de café</t>
  </si>
  <si>
    <t>kg/ano</t>
  </si>
  <si>
    <t>Açúcar</t>
  </si>
  <si>
    <t>Filtro para café</t>
  </si>
  <si>
    <t>caixas com 30 unidades cada</t>
  </si>
  <si>
    <t>Utensílios descartáveis</t>
  </si>
  <si>
    <t>Papel higiênico rolos 300 m</t>
  </si>
  <si>
    <t>32 (4 pct de 8 un)</t>
  </si>
  <si>
    <t>2 a 3 rolos grandes/mês (R$ 60 por 8 rolos)</t>
  </si>
  <si>
    <t>Produtos de higiene</t>
  </si>
  <si>
    <t>24 (3 pct de 8 un)</t>
  </si>
  <si>
    <t>2 rolos grandes/mês (R$ 60 por 8 rolos)</t>
  </si>
  <si>
    <t>Papel higiênico rolos 30 m</t>
  </si>
  <si>
    <t>120 (10 pct de 12 rolos)</t>
  </si>
  <si>
    <t>10 rolos pequenos/mês (R$ 15 por 12 rolos)</t>
  </si>
  <si>
    <t>60 (05 pct de 12 rolos)</t>
  </si>
  <si>
    <t>5 rolos pequenos/mês (R$ 15 por 12 rolos)</t>
  </si>
  <si>
    <t>Detergente</t>
  </si>
  <si>
    <t>03/mês</t>
  </si>
  <si>
    <t>Produtos de limpeza</t>
  </si>
  <si>
    <t>02/mês</t>
  </si>
  <si>
    <t>Desinfetante</t>
  </si>
  <si>
    <t>04 litros/mês</t>
  </si>
  <si>
    <t>03 litros/mês</t>
  </si>
  <si>
    <t>Limpa vidros</t>
  </si>
  <si>
    <t>01/mês</t>
  </si>
  <si>
    <t>Água sanitária</t>
  </si>
  <si>
    <t>05 litros/mês</t>
  </si>
  <si>
    <t>05/mês</t>
  </si>
  <si>
    <t>Pano multi-uso (tipo Perfex)</t>
  </si>
  <si>
    <t>04/mês</t>
  </si>
  <si>
    <t>Rodo</t>
  </si>
  <si>
    <t>01 a cada 4 meses</t>
  </si>
  <si>
    <t>Utensílio de limpeza</t>
  </si>
  <si>
    <t>Vassoura</t>
  </si>
  <si>
    <t>Saco de lixo 30 litros</t>
  </si>
  <si>
    <t>pacotes de 10 unidades</t>
  </si>
  <si>
    <t>Saco de lixo 60 litros</t>
  </si>
  <si>
    <t>Limpeza pesada (Veja)</t>
  </si>
  <si>
    <t>02 litros/mês</t>
  </si>
  <si>
    <t>Esponja multi-uso</t>
  </si>
  <si>
    <t>Oficinas 2024</t>
  </si>
  <si>
    <t>Média de 02/mês</t>
  </si>
  <si>
    <t>Capacitações</t>
  </si>
  <si>
    <t>Contratação de instrutores para cursos/oficinas</t>
  </si>
  <si>
    <t>Palestrantes para cursos/eventos</t>
  </si>
  <si>
    <t>DJ</t>
  </si>
  <si>
    <t>01 a 02/mês</t>
  </si>
  <si>
    <t>Serviços para eventos</t>
  </si>
  <si>
    <t>Equipamentos e utensílios para capacitações e eventos</t>
  </si>
  <si>
    <t>Instrumentos musicais e equipamento de som</t>
  </si>
  <si>
    <t>Teclado, guitarra, bateria, baixo, microfones com pedestais, caixas de som com pedestais, mesa de som</t>
  </si>
  <si>
    <t>Capacitações e eventos</t>
  </si>
  <si>
    <t>Coquetel de formatura/conclusão de capacitações</t>
  </si>
  <si>
    <t>Folha de Pagamento</t>
  </si>
  <si>
    <t>R$ 45.000,00/mês</t>
  </si>
  <si>
    <t>Servidores</t>
  </si>
  <si>
    <t>NÚMERO DO ITEM</t>
  </si>
  <si>
    <t>DESCRIÇÃO SUSCINTA DO OBJETO</t>
  </si>
  <si>
    <t>JUSTIFICATIVA SUSCINTA</t>
  </si>
  <si>
    <t>TIPO DE ITEM</t>
  </si>
  <si>
    <t>SUBITEM</t>
  </si>
  <si>
    <t>CONTRATAÇÃO OU RENOVAÇÃO</t>
  </si>
  <si>
    <t>DATA DA RENOVAÇÃO</t>
  </si>
  <si>
    <t>DATA DA NOVA CONTRATAÇÃO</t>
  </si>
  <si>
    <t>RAMO DE ATIVIDADE</t>
  </si>
  <si>
    <t>GRAU DE PRIORIDADE</t>
  </si>
  <si>
    <t>PARTICIPAÇÃO DE RECURSOS EXTERNOS</t>
  </si>
  <si>
    <t>QUANTIDADE DE ITENS</t>
  </si>
  <si>
    <t>VALOR TOTAL ESTIMADO</t>
  </si>
  <si>
    <t>Instalações prediais</t>
  </si>
  <si>
    <t>Serviços de manutenção e higienização de janelas e persianas</t>
  </si>
  <si>
    <t>serviços de manutenção e higienização de janelas e persianas</t>
  </si>
  <si>
    <t>Restituir a limpeza e boas condições das janelas e persianas instaladas nas dependências da secretaria, garantindo os níveis adequados de iluminação dos ambientes e salubridade devido a dejetos de aves</t>
  </si>
  <si>
    <t>Contratação</t>
  </si>
  <si>
    <t>Serviços de confecção de placas de identificação/orientação e informação</t>
  </si>
  <si>
    <t>serviços de confecção de placas de identificação/orientação e informação</t>
  </si>
  <si>
    <t>Manter os ambientes internos e externos da SECPLA identificados e sinalizados e facilitar a orientação das pessoas que transitam pelo local</t>
  </si>
  <si>
    <t>Confecção</t>
  </si>
  <si>
    <t>Serviços de reparo com fornecimento de material de outros bens</t>
  </si>
  <si>
    <t>serviços de reparo com fornecimento de material de outros bens</t>
  </si>
  <si>
    <t xml:space="preserve">Restituir e recuperar bens e equipamentos de uso geral da Secretaria devido a deterioração ou dano causado pelo uso contínuo </t>
  </si>
  <si>
    <t>Manutenção de mobiliário, montagem e desmontagem</t>
  </si>
  <si>
    <t>manutenção de mobiliário, montagem e desmontagem</t>
  </si>
  <si>
    <t>A manutenção corretiva dos móveis prolonga sua vida útil de forma satisfatória e aumenta o prazo necessário para substituição definitiva, além de proporcionar um mobiliário em adequadas condições de uso</t>
  </si>
  <si>
    <t>Serviço de manutenção predial com fornecimento de materiais</t>
  </si>
  <si>
    <t>serviço de manutenção predial com fornecimento de materiais</t>
  </si>
  <si>
    <t>O uso contínuo e intensivo das instalações, além das ações climáticas, provocam o desgaste natural da infraestrutura predial, ocasionando a perda das características originais tais como: mudança da cor das áreas pintadas, aparecimento de pequenas fissuras, manchas, corrosão, infiltração em esquadrias, vidros, telhados, pisos, paredes, portas, divisórias, forros, entre outros, comprometendo a integridade estrutural e estética da SECPLA (Mercado Municipal de Lorena), sendo desta forma necessário um contínuo processo de manutenção preventiva e corretiva</t>
  </si>
  <si>
    <t>mês</t>
  </si>
  <si>
    <t>Serviço de manutenção corretiva do sistema de iluminação interna da SECPLA com fornecimento de materiais</t>
  </si>
  <si>
    <t>serviço de manutenção corretiva do sistema de iluminação interna da secpla com fornecimento de materiais</t>
  </si>
  <si>
    <t>Manter a iluminação adequada para o ambiente de trabalho de acordo com a norma padrão sobre o nível de iluminância além de garantir seu pleno funcionamento</t>
  </si>
  <si>
    <t>Serviços essenciais</t>
  </si>
  <si>
    <t>Água e esgoto.</t>
  </si>
  <si>
    <t>água e esgoto.</t>
  </si>
  <si>
    <t>Continuidade dos serviços básicos de água e esgoto</t>
  </si>
  <si>
    <t>Renovação</t>
  </si>
  <si>
    <t>Conforme contas dos últimos 12 meses</t>
  </si>
  <si>
    <t>Energia elétrica.</t>
  </si>
  <si>
    <t>energia elétrica.</t>
  </si>
  <si>
    <t>Continuidade do serviço básico de energia elétrica</t>
  </si>
  <si>
    <t>Gás de cozinha GLP</t>
  </si>
  <si>
    <t>gás de cozinha glp</t>
  </si>
  <si>
    <t>Continuidade do serviço de fornecimento de gás para cozinha</t>
  </si>
  <si>
    <t>Serviços de rede de internet e telefonia</t>
  </si>
  <si>
    <t>serviços de rede de internet e telefonia</t>
  </si>
  <si>
    <t>Continuidade de fornecimento de conectividade da rede da SECPLA à internet para a oferta do serviço de acesso aos usuários e equipamentos da rede interna à rede mundial de computadores. E também os serviços de telefonia fixa por central de números e ramais</t>
  </si>
  <si>
    <t>Serviços de instalação de ar condicionado</t>
  </si>
  <si>
    <t>serviços de instalação de ar condicionado</t>
  </si>
  <si>
    <t>Garantir a climatização adequada nos ambientes de trabalho destinados aos funcionários da Secretaria além de atender as normas reguladoras vigentes no que concerne a qualidade do ar, operação e controle</t>
  </si>
  <si>
    <t>Instalação de equipamento de ar condicionado</t>
  </si>
  <si>
    <t>Manutenção corretiva e preventiva e remanejo de aparelhos de ar condicionado split</t>
  </si>
  <si>
    <t>manutenção corretiva e preventiva e remanejo de aparelhos de ar condicionado split</t>
  </si>
  <si>
    <t>Assegurar a rotina de manutenções a fim de manter os equipamentos em pleno funcionamento e de acordo com as normas reguladoras vigentes no que concerne a qualidade do ar, operação e controle</t>
  </si>
  <si>
    <t>Equipamento de ar condicionado</t>
  </si>
  <si>
    <t>equipamento de ar condicionado</t>
  </si>
  <si>
    <t>Aquisição de materiais</t>
  </si>
  <si>
    <t>Combate a incêndio</t>
  </si>
  <si>
    <t>manutenção e instalação do Sistema de Combate à Incêndio em prédios próprios da PML</t>
  </si>
  <si>
    <t>manutenção e instalação do sistema de combate à incêndio em prédios próprios da pml</t>
  </si>
  <si>
    <t>Realização de manutenção preventiva, corretiva e ensaio funcional do Sistema de Detecção e Alarme de Incêndio instalado em prédios próprios da PML a fim de assegurar o seu pleno funcionamento nos casos de emergência</t>
  </si>
  <si>
    <t>Impressão e plotagem</t>
  </si>
  <si>
    <t>Locação de impressoras, incluindo assistência técnica e fornecimento de suprimentos</t>
  </si>
  <si>
    <t>locação de impressoras, incluindo assistência técnica e fornecimento de suprimentos</t>
  </si>
  <si>
    <t>Locação dos equipamentos, insumos e suporte para a estrutura de digitalização e impressão de documentos da Secretaria</t>
  </si>
  <si>
    <t>Locação de equipamento</t>
  </si>
  <si>
    <t>Aquisição de uma impressora no modelo de locação de impressoras, incluindo assistência técnica e fornecimento de suprimentos</t>
  </si>
  <si>
    <t>aquisição de uma impressora no modelo de locação de impressoras, incluindo assistência técnica e fornecimento de suprimentos</t>
  </si>
  <si>
    <t>Locação de uma impressora (4° andar) no modelo de locação dos equipamentos, insumos e suporte para a estrutura de digitalização e impressão de documentos da Secretaria</t>
  </si>
  <si>
    <t>Veículos automotores</t>
  </si>
  <si>
    <t>Combustível para automóvel</t>
  </si>
  <si>
    <t>Combustível para abastecimento de toda frota de veículos da SECPLA, de forma a executar os serviços de transporte durante todo o ano</t>
  </si>
  <si>
    <t>litro</t>
  </si>
  <si>
    <t>Fornecimento de peças para veículos</t>
  </si>
  <si>
    <t>fornecimento de peças para veículos</t>
  </si>
  <si>
    <t>A aquisição de peças e componentes para veículos torna-se necessária para seu correto funcionamento e segurança do condutor e passageiros, assegurando a manutenção e açoes corretivas da frota veicular desta Secretaria</t>
  </si>
  <si>
    <t>Manutenção de veículos automotores</t>
  </si>
  <si>
    <t>manutenção de veículos automotores</t>
  </si>
  <si>
    <t>As manutenções preventivas e corretivas, ou ainda as revisões, em veículos é de extrema importância para garantir seu bom estado, segurança dos usuários e prolongar sua vida útil</t>
  </si>
  <si>
    <t>Apólice de seguro para veículos</t>
  </si>
  <si>
    <t>apólice de seguro para veículos</t>
  </si>
  <si>
    <t>O seguro veicular garante aos bens cobertura e mais segurança e locomação dos servidores, de forma que resguarda o ressarcimento ocasionado por possíveis danos a outros veículos e de terceiros</t>
  </si>
  <si>
    <t>Informática, rede de dados e telefonia</t>
  </si>
  <si>
    <t>Prestação do serviço arquivos em nuvem</t>
  </si>
  <si>
    <t>prestação do serviço arquivos em nuvem</t>
  </si>
  <si>
    <t>Serviço contratado para o armazenamento e compartilhamento de documentos e arquivos, em forma de nuvem, para resolver e organizar a gestão de arquivos digitais</t>
  </si>
  <si>
    <t>Soluções de TIC</t>
  </si>
  <si>
    <t>usuário</t>
  </si>
  <si>
    <t>Fornecimento de serviço de rede sem fio (wireless), compreendendo o fornecimento de pontos de acesso (access points), switches de alimentação elétrica (PoE+), solução de controladoras virtuais WLAN, software de gerenciamento</t>
  </si>
  <si>
    <t>fornecimento de serviço de rede sem fio (wireless), compreendendo o fornecimento de pontos de acesso (access points), switches de alimentação elétrica (poe+), solução de controladoras virtuais wlan, software de gerenciamento</t>
  </si>
  <si>
    <t>Oferta de internet e serviços internos via Wifi, tanto para servidores quanto para visitantes</t>
  </si>
  <si>
    <t>Ferramenta de colaboração on-line com armazenamento de arquivos em nuvem, trabalho compartilhado em edição de arquivos, agenda, e-mail</t>
  </si>
  <si>
    <t>ferramenta de colaboração on-line com armazenamento de arquivos em nuvem, trabalho compartilhado em edição de arquivos, agenda, e-mail</t>
  </si>
  <si>
    <t>Colaboração on-line + Nuvem + E-mail</t>
  </si>
  <si>
    <t>Acessórios para computadores</t>
  </si>
  <si>
    <t>acessórios para computadores</t>
  </si>
  <si>
    <t>Adquirir equipamentos periféricos de computadores tais como mouses, teclados, monitores e cabos conectores afim de garantir a utilização pertinente ao uso do equipamento</t>
  </si>
  <si>
    <t>Peças para computadores</t>
  </si>
  <si>
    <t>peças para computadores</t>
  </si>
  <si>
    <t>Adquirir peças e componentes para reparo de computadores, de acordo com a necessidade, tais como placas mãe, placa de vídeos, processores, memória ram e etc afim de garantir o funcionamento e a utilização pertinente ao uso do equipamento</t>
  </si>
  <si>
    <t>Computadores e Notebooks</t>
  </si>
  <si>
    <t>computadores e notebooks</t>
  </si>
  <si>
    <t>Adquirir computadores e notebooks, de acordo com a necessidade, afim de garantir ferramenta de trabalho adequada aos servidores</t>
  </si>
  <si>
    <t>Equipamento de rede de tic</t>
  </si>
  <si>
    <t>equipamento de rede de tic</t>
  </si>
  <si>
    <t>Adquirir equipamentos como SWITCH e MODEM afim de garantir a utilização da rede local e de internet com agilidade e segurança</t>
  </si>
  <si>
    <t>Serviços de manutenção e instalação de equipamentos de tic</t>
  </si>
  <si>
    <t>serviços de manutenção e instalação de equipamentos de tic</t>
  </si>
  <si>
    <t>Garantir a manutenção e instalação de equipamentos de informática e telefonia</t>
  </si>
  <si>
    <t>SOLUÇÕES DE TIC</t>
  </si>
  <si>
    <t>Cabo de HDMI</t>
  </si>
  <si>
    <t>cabo de hdmi</t>
  </si>
  <si>
    <t>Adquirir peças e componentes para instalação e reparo de computadores e periféricos, de acordo com a necessidade afim de garantir a utilização pertinente ao uso do equipamento</t>
  </si>
  <si>
    <t>filtro de linha</t>
  </si>
  <si>
    <t>Cabos UTP</t>
  </si>
  <si>
    <t>cabos utp</t>
  </si>
  <si>
    <t>m</t>
  </si>
  <si>
    <t>Equipamentos diversos para comunicações</t>
  </si>
  <si>
    <t>equipamentos diversos para comunicações</t>
  </si>
  <si>
    <t>Adquirir equipamentos de comunicação, tal como telefone, afim de garantir a utilização do sistema de telefonia</t>
  </si>
  <si>
    <t>Tinta de impressora plotter</t>
  </si>
  <si>
    <t>tinta de impressora plotter</t>
  </si>
  <si>
    <t>Adquirir suprimentos de impressão para impressora plotter</t>
  </si>
  <si>
    <t>SSD</t>
  </si>
  <si>
    <t>ssd</t>
  </si>
  <si>
    <t>Adquirir acessórios para armazenamento interno e externo de arquivos digitais</t>
  </si>
  <si>
    <t>HD externo de 2 TB</t>
  </si>
  <si>
    <t>hd externo de 2 tb</t>
  </si>
  <si>
    <t>CD-RW 700MB</t>
  </si>
  <si>
    <t>cd-rw 700mb</t>
  </si>
  <si>
    <t xml:space="preserve">Pen drive 16 GB </t>
  </si>
  <si>
    <t xml:space="preserve">pen drive 16 gb </t>
  </si>
  <si>
    <t>Pen drive 32GB</t>
  </si>
  <si>
    <t>pen drive 32gb</t>
  </si>
  <si>
    <t>Licenças e softwares</t>
  </si>
  <si>
    <t>Solução integrada de gestão pública e plataforma de georeferenciamento</t>
  </si>
  <si>
    <t>solução integrada de gestão pública e plataforma de georeferenciamento</t>
  </si>
  <si>
    <t>SIAP - Fornecimento de software (módulos) de sistema de gestão pública e diversos procedimentos administrativos da Secretaria</t>
  </si>
  <si>
    <t>Licenças/cursos anuais para acesso à plataforma de cursos digitais de aprendizagem e aprimoramento técnico voltados para a gestão pública municipal</t>
  </si>
  <si>
    <t>licenças/cursos anuais para acesso à plataforma de cursos digitais de aprendizagem e aprimoramento técnico voltados para a gestão pública municipal</t>
  </si>
  <si>
    <t>Ferramenta de cursos on-line para manter a equipe em constante treinamento e reciclagem de conhecimento.</t>
  </si>
  <si>
    <t>licença</t>
  </si>
  <si>
    <t>Software de geoprocessamento para serviços topográficos</t>
  </si>
  <si>
    <t>software de geoprocessamento para serviços topográficos</t>
  </si>
  <si>
    <t>Continuidade de acesso a plataforma e software para realização de levantamentos e projetos topográficos através de análise e gerenciamento por geoprocessamento</t>
  </si>
  <si>
    <t>Software de engenharia para elaboração de projetos técnicos de diversas áreas</t>
  </si>
  <si>
    <t>software de engenharia para elaboração de projetos técnicos de diversas áreas</t>
  </si>
  <si>
    <t>Continuidade de acesso por licenças de softwares para elaboração de projetos técnicos de engenharia</t>
  </si>
  <si>
    <t>Solução integrada de engenharia para elaboração de projetos técnicos de diversas áreas</t>
  </si>
  <si>
    <t>solução integrada de engenharia para elaboração de projetos técnicos de diversas áreas</t>
  </si>
  <si>
    <t>Continuidade de acesso por licenças de softwares integrados, baseados no sistema BIM de compartilhamento, para elaboração de projetos técnicos de engenharia</t>
  </si>
  <si>
    <t>Licença permanente da plataforma Windows</t>
  </si>
  <si>
    <t>licença permanente da plataforma windows</t>
  </si>
  <si>
    <t>Continuidade de acesso ao sistema operacional de interface gráfica multitarefa Windows</t>
  </si>
  <si>
    <t>Licença anual do pacote office</t>
  </si>
  <si>
    <t>licença anual do pacote office</t>
  </si>
  <si>
    <t>Conjunto de aplicativos oferecidos pela microsoft voltados para escritório composto por programas de produtividade e ferramentas importantes como Word, Excel e etc</t>
  </si>
  <si>
    <t>Licença anual para acesso de tabelas de custo</t>
  </si>
  <si>
    <t>licença anual para acesso de tabelas de custo</t>
  </si>
  <si>
    <t>Acesso as tabelas de custos utilizadas para elaboração de planilhas orçamentárias</t>
  </si>
  <si>
    <t>Licença anual para assinatura digital</t>
  </si>
  <si>
    <t>licença anual para assinatura digital</t>
  </si>
  <si>
    <t>Serviço de verificação da autenticidade de mensagens ou documentos digitais, permitindo assinatura de documento em meio digital - CPF</t>
  </si>
  <si>
    <t>Serviço de verificação da autenticidade de mensagens ou documentos digitais, permitindo assinatura de documento em meio digital - CNPJ</t>
  </si>
  <si>
    <t>Copa, cozinha e alimentos</t>
  </si>
  <si>
    <t>Serviços de manutenção de eletrodomésticos</t>
  </si>
  <si>
    <t>serviços de manutenção de eletrodomésticos</t>
  </si>
  <si>
    <t>Em virtude dos eletrodomésticos da SECPLA possuir um tempo de vida além da sua garantia de fábrica se faz necessária a contratação de empresa(s) especializada(s) em manutenção de aparelhos eletrodomésticos com fornecimento total de peças a fim de garantir o seu funcionamento</t>
  </si>
  <si>
    <t>Fornecimento de galões de água de 20 litros</t>
  </si>
  <si>
    <t>fornecimento de galões de água de 20 litros</t>
  </si>
  <si>
    <t>Manter o servimento de água de galão de 20 litros assegurando água filtrada de alta qualidade para consumo dos servidores e visitantes</t>
  </si>
  <si>
    <t>Fornecimento</t>
  </si>
  <si>
    <t>galões</t>
  </si>
  <si>
    <t>pano de prato alvejado</t>
  </si>
  <si>
    <t>Adquirir utensílios e bens de consumo de uso diário</t>
  </si>
  <si>
    <t>Insumo</t>
  </si>
  <si>
    <t>Fósforo pct com 10 caixas c/ 40 palitos</t>
  </si>
  <si>
    <t>fósforo pct com 10 caixas c/ 40 palitos</t>
  </si>
  <si>
    <t>cx</t>
  </si>
  <si>
    <t>Copo plástico descartável 180 mL c/ 100 um</t>
  </si>
  <si>
    <t>copo plástico descartável 180 ml c/ 100 um</t>
  </si>
  <si>
    <t>pct</t>
  </si>
  <si>
    <t>Copo plástico descartável 50 mL c/ 100 um</t>
  </si>
  <si>
    <t>copo plástico descartável 50 ml c/ 100 um</t>
  </si>
  <si>
    <t>Açúcar refinado 1kg</t>
  </si>
  <si>
    <t>açúcar refinado 1kg</t>
  </si>
  <si>
    <t>Adquirir utensílios e bens de consumo de uso diário (alimentação)</t>
  </si>
  <si>
    <t>Pó de café 500g</t>
  </si>
  <si>
    <t>pó de café 500g</t>
  </si>
  <si>
    <t>Chá diversos sabores caixa com 25 saches</t>
  </si>
  <si>
    <t>chá diversos sabores caixa com 25 saches</t>
  </si>
  <si>
    <t>Filtro de café 103 c/ 30 unidades</t>
  </si>
  <si>
    <t>filtro de café 103 c/ 30 unidades</t>
  </si>
  <si>
    <t>Leite integral em embalagem de 1 LT ou em pó de 500g, com identificação do produto, marca do fabricante, data de fabricação e validade</t>
  </si>
  <si>
    <t>leite integral em embalagem de 1 lt ou em pó de 500g, com identificação do produto, marca do fabricante, data de fabricação e validade</t>
  </si>
  <si>
    <t>Garrafa térmica para café 1800mL</t>
  </si>
  <si>
    <t>garrafa térmica para café 1800ml</t>
  </si>
  <si>
    <t>Utensílios e ferramentas manuais de cozinha (jogo de talheres, copos e prato)</t>
  </si>
  <si>
    <t>utensílios e ferramentas manuais de cozinha (jogo de talheres, copos e prato)</t>
  </si>
  <si>
    <t>Adquirir utensílios e bens de consumo de uso diário (utilidades doméstica)</t>
  </si>
  <si>
    <t>Utensílios e ferramentas manuais de cozinha (jogo de panelas)</t>
  </si>
  <si>
    <t>utensílios e ferramentas manuais de cozinha (jogo de panelas)</t>
  </si>
  <si>
    <t>Limpeza e higienização</t>
  </si>
  <si>
    <t>Serviços continuados de limpeza, conservação e higienização</t>
  </si>
  <si>
    <t>serviços continuados de limpeza, conservação e higienização</t>
  </si>
  <si>
    <t>Atender demandas de funções específicas de limpeza, assepsia e conservação de forma continua</t>
  </si>
  <si>
    <t>Saco de lixo 240L fardo c/ 100 un</t>
  </si>
  <si>
    <t>saco de lixo 240l fardo c/ 100 un</t>
  </si>
  <si>
    <t>Adquirir produtos de limpeza de uso diário</t>
  </si>
  <si>
    <t>Saco de lixo 110L fardo c/ 100 un</t>
  </si>
  <si>
    <t>saco de lixo 110l fardo c/ 100 un</t>
  </si>
  <si>
    <t>Saco de lixo 30L fardo c/ 100 un</t>
  </si>
  <si>
    <t>saco de lixo 30l fardo c/ 100 un</t>
  </si>
  <si>
    <t>Água sanitária 5L</t>
  </si>
  <si>
    <t>água sanitária 5l</t>
  </si>
  <si>
    <t>bota de borracha</t>
  </si>
  <si>
    <t>par</t>
  </si>
  <si>
    <t>Luva de borracha</t>
  </si>
  <si>
    <t>luva de borracha</t>
  </si>
  <si>
    <t>Álcool líquido 92% 1L</t>
  </si>
  <si>
    <t>álcool líquido 92% 1l</t>
  </si>
  <si>
    <t>Álcool em gel</t>
  </si>
  <si>
    <t>álcool em gel</t>
  </si>
  <si>
    <t>Cesto de lixo inox 5L</t>
  </si>
  <si>
    <t>cesto de lixo inox 5l</t>
  </si>
  <si>
    <t>lixeira com tampa 30L</t>
  </si>
  <si>
    <t>lixeira com tampa 30l</t>
  </si>
  <si>
    <t>Sabonete líquido 5L</t>
  </si>
  <si>
    <t>sabonete líquido 5l</t>
  </si>
  <si>
    <t>Sabão em barra pct com 5 um de 180gr</t>
  </si>
  <si>
    <t>sabão em barra pct com 5 um de 180gr</t>
  </si>
  <si>
    <t>Desinfetante floral 5L</t>
  </si>
  <si>
    <t>desinfetante floral 5l</t>
  </si>
  <si>
    <t>Desinfetante multiuso 500mL</t>
  </si>
  <si>
    <t>desinfetante multiuso 500ml</t>
  </si>
  <si>
    <t>Detergente neutro 5L</t>
  </si>
  <si>
    <t>detergente neutro 5l</t>
  </si>
  <si>
    <t>Pano de chão alvejado (saco)</t>
  </si>
  <si>
    <t>pano de chão alvejado (saco)</t>
  </si>
  <si>
    <t>Esponja dupla face</t>
  </si>
  <si>
    <t>esponja dupla face</t>
  </si>
  <si>
    <t>Flanela de limpeza c/ 12 um</t>
  </si>
  <si>
    <t>flanela de limpeza c/ 12 um</t>
  </si>
  <si>
    <t>lustra móveis</t>
  </si>
  <si>
    <t>Balde plástico 20L</t>
  </si>
  <si>
    <t>balde plástico 20l</t>
  </si>
  <si>
    <t>odorizador de ambientes</t>
  </si>
  <si>
    <t>Inseticida aerosol</t>
  </si>
  <si>
    <t>inseticida aerosol</t>
  </si>
  <si>
    <t>Papel toalha pct com 1000 folhas</t>
  </si>
  <si>
    <t>papel toalha pct com 1000 folhas</t>
  </si>
  <si>
    <t>guardanapo papel pct c/ 50 cx com 30 pct</t>
  </si>
  <si>
    <t>papel higiênico</t>
  </si>
  <si>
    <t>rolo</t>
  </si>
  <si>
    <t>Escova de nylon (banheiro)</t>
  </si>
  <si>
    <t>escova de nylon (banheiro)</t>
  </si>
  <si>
    <t>Vassoura piaçava</t>
  </si>
  <si>
    <t>vassoura piaçava</t>
  </si>
  <si>
    <t>vassoura de nylon</t>
  </si>
  <si>
    <t>Rodo plástico</t>
  </si>
  <si>
    <t>rodo plástico</t>
  </si>
  <si>
    <t>Rodo plástico p/ pia</t>
  </si>
  <si>
    <t>rodo plástico p/ pia</t>
  </si>
  <si>
    <t>limpador pesado para pisos 5l</t>
  </si>
  <si>
    <t>Pá plástica para lixo coletora com cabo alongado</t>
  </si>
  <si>
    <t>pá plástica para lixo coletora com cabo alongado</t>
  </si>
  <si>
    <t>Caneta esferográfica azul</t>
  </si>
  <si>
    <t>caneta esferográfica azul</t>
  </si>
  <si>
    <t>Suprimento para expediente (escritório)</t>
  </si>
  <si>
    <t>Caneta esferográfica vermelha</t>
  </si>
  <si>
    <t>caneta esferográfica vermelha</t>
  </si>
  <si>
    <t>Caneta esferográfica preta</t>
  </si>
  <si>
    <t>caneta esferográfica preta</t>
  </si>
  <si>
    <t>Caneta marca texto amarela</t>
  </si>
  <si>
    <t>caneta marca texto amarela</t>
  </si>
  <si>
    <t>Caneta marca texto azul</t>
  </si>
  <si>
    <t>caneta marca texto azul</t>
  </si>
  <si>
    <t>Caneta marca texto verde</t>
  </si>
  <si>
    <t>caneta marca texto verde</t>
  </si>
  <si>
    <t>Caneta marca texto rosa</t>
  </si>
  <si>
    <t>caneta marca texto rosa</t>
  </si>
  <si>
    <t>Grampo de trilho de metal com 50 unidades</t>
  </si>
  <si>
    <t>grampo de trilho de metal com 50 unidades</t>
  </si>
  <si>
    <t xml:space="preserve">Envelope / saco plástico com 4 furos tamanho A4 </t>
  </si>
  <si>
    <t xml:space="preserve">envelope / saco plástico com 4 furos tamanho a4 </t>
  </si>
  <si>
    <t>Pasta suspensa - KRAFT com haste</t>
  </si>
  <si>
    <t>pasta suspensa - kraft com haste</t>
  </si>
  <si>
    <t>Caixa de arquivo morto de prolipropileno azul nas medidas aproximadas de 140 X 360 X 260 mm, com fundo automático para facilitar a sua montagem, com dados necessários em SLIK</t>
  </si>
  <si>
    <t>caixa de arquivo morto de prolipropileno azul nas medidas aproximadas de 140 x 360 x 260 mm, com fundo automático para facilitar a sua montagem, com dados necessários em slik</t>
  </si>
  <si>
    <t xml:space="preserve">Livro protocolo de correspndência com 104 folhas 154X216 mm </t>
  </si>
  <si>
    <t xml:space="preserve">livro protocolo de correspndência com 104 folhas 154x216 mm </t>
  </si>
  <si>
    <t>Caderno brochurão, capa dura costurado 96 folhas cor preto formato: 200 X 275 mm, revestido papel couche 115 G/M²</t>
  </si>
  <si>
    <t>caderno brochurão, capa dura costurado 96 folhas cor preto formato: 200 x 275 mm, revestido papel couche 115 g/m²</t>
  </si>
  <si>
    <t>apontador com depósito</t>
  </si>
  <si>
    <t>Cola branca com 90 GR lavável</t>
  </si>
  <si>
    <t>cola branca com 90 gr lavável</t>
  </si>
  <si>
    <t>Cola em bastão 21 GR</t>
  </si>
  <si>
    <t>cola em bastão 21 gr</t>
  </si>
  <si>
    <t>perfurador de papel com 2 furos para 20 folhas</t>
  </si>
  <si>
    <t>Perfurador de papel com 2 furos para 60 ou 100 folhas</t>
  </si>
  <si>
    <t>perfurador de papel com 2 furos para 60 ou 100 folhas</t>
  </si>
  <si>
    <t>Régua plástica de 30 cm</t>
  </si>
  <si>
    <t>régua plástica de 30 cm</t>
  </si>
  <si>
    <t>tesoura multiuso</t>
  </si>
  <si>
    <t>Tinta para carimbo cor preta 40 ML</t>
  </si>
  <si>
    <t>tinta para carimbo cor preta 40 ml</t>
  </si>
  <si>
    <t>Tinta para carimbo cor vermelha 40 ML</t>
  </si>
  <si>
    <t>tinta para carimbo cor vermelha 40 ml</t>
  </si>
  <si>
    <t>Grampeador pequeno com base 13 cm para grampo 26/6 para grampear até 25 folhas</t>
  </si>
  <si>
    <t>grampeador pequeno com base 13 cm para grampo 26/6 para grampear até 25 folhas</t>
  </si>
  <si>
    <t>Bloco adesivo amarelo 100 folhas 76 X 102 mm</t>
  </si>
  <si>
    <t>bloco adesivo amarelo 100 folhas 76 x 102 mm</t>
  </si>
  <si>
    <t>Bloco adesivo neon sortido 100 folhas embalagem com 4 blocos 38 X 50 mm</t>
  </si>
  <si>
    <t>bloco adesivo neon sortido 100 folhas embalagem com 4 blocos 38 x 50 mm</t>
  </si>
  <si>
    <t>Envelope branco - 25 X 35 cm cx com 250 um</t>
  </si>
  <si>
    <t>envelope branco - 25 x 35 cm cx com 250 um</t>
  </si>
  <si>
    <t>Envelope pardo 240 X 340 mm</t>
  </si>
  <si>
    <t>envelope pardo 240 x 340 mm</t>
  </si>
  <si>
    <t>Etiqueta ink jet/laser carta 215,9 X 279,4 mm cx com 25 um</t>
  </si>
  <si>
    <t>etiqueta ink jet/laser carta 215,9 x 279,4 mm cx com 25 um</t>
  </si>
  <si>
    <t>Clips galvanizados 8/0 com 25 unidades</t>
  </si>
  <si>
    <t>clips galvanizados 8/0 com 25 unidades</t>
  </si>
  <si>
    <t>Clips 6/0 - caixa com 50 unidades</t>
  </si>
  <si>
    <t>clips 6/0 - caixa com 50 unidades</t>
  </si>
  <si>
    <t>Clips 3/0 - caixa com 500 g</t>
  </si>
  <si>
    <t>clips 3/0 - caixa com 500 g</t>
  </si>
  <si>
    <t xml:space="preserve">Elástico latex 1 KG n° 18 </t>
  </si>
  <si>
    <t xml:space="preserve">elástico latex 1 kg n° 18 </t>
  </si>
  <si>
    <t>Estilete largo com cabo em prolipropileno, Lâmina de aço de 9 cm. Carbono trava automática</t>
  </si>
  <si>
    <t>estilete largo com cabo em prolipropileno, lâmina de aço de 9 cm. carbono trava automática</t>
  </si>
  <si>
    <t>EXTRATOR DE GRAMPO - ESPÁTULA</t>
  </si>
  <si>
    <t>extrator de grampo - espátula</t>
  </si>
  <si>
    <t>GRAMPEADOR GRANDE COM BASE DE 28CM PARA GRAMPO 23/10 P/ GRAMPEAR ATÉ 70 FOLHAS E GRAMPO 23/13 P/ GRAMPEAR ATÉ 100 FOLHAS</t>
  </si>
  <si>
    <t>grampeador grande com base de 28cm para grampo 23/10 p/ grampear até 70 folhas e grampo 23/13 p/ grampear até 100 folhas</t>
  </si>
  <si>
    <t>GRAMPEADOR MÉDIO COM BASE DE 20 CM PARA GRAMPO 26/6 PARA GRAMPEAR ATÉ 30 FOLHAS</t>
  </si>
  <si>
    <t>grampeador médio com base de 20 cm para grampo 26/6 para grampear até 30 folhas</t>
  </si>
  <si>
    <t>GRAMPO P/GRAMPEADOR 23/10 CAIXA COM 1.000 UNIDADES</t>
  </si>
  <si>
    <t>grampo p/grampeador 23/10 caixa com 1.000 unidades</t>
  </si>
  <si>
    <t>GRAMPO P/GRAMPEADOR 26/6 CAIXA COM 5.000 UNIDADES</t>
  </si>
  <si>
    <t>grampo p/grampeador 26/6 caixa com 5.000 unidades</t>
  </si>
  <si>
    <t>Prancheta em acrílico medidas 3,2X240X340mm com prendedor metálico</t>
  </si>
  <si>
    <t>prancheta em acrílico medidas 3,2x240x340mm com prendedor metálico</t>
  </si>
  <si>
    <t>ORGANIZADOR PORTA CANETA METAL TELADO ESCRITÓRIO CARTÃO DE VISITA 3 PEÇAS</t>
  </si>
  <si>
    <t>organizador porta caneta metal telado escritório cartão de visita 3 peças</t>
  </si>
  <si>
    <t>MOUSE PAD ERGONÔMICO</t>
  </si>
  <si>
    <t>mouse pad ergonômico</t>
  </si>
  <si>
    <t>BOBINA para PLOTTER 610 mm x 50 m, 75 G, 2"</t>
  </si>
  <si>
    <t>bobina para plotter 610 mm x 50 m, 75 g, 2"</t>
  </si>
  <si>
    <t>PAPEL SULFITE A4 GRAMATURA 90GR c/ 500 folhas</t>
  </si>
  <si>
    <t>papel sulfite a4 gramatura 90gr c/ 500 folhas</t>
  </si>
  <si>
    <t>PASTA PLÁSTICA EM L TAMANHO: A4 DIVERSAS CORES A ESCOLHER</t>
  </si>
  <si>
    <t>pasta plástica em l tamanho: a4 diversas cores a escolher</t>
  </si>
  <si>
    <t>PASTA REGISTRADORA - AZ - LOMBO LARGO (8X34X28 CM )</t>
  </si>
  <si>
    <t>pasta registradora - az - lombo largo (8x34x28 cm )</t>
  </si>
  <si>
    <t>PASTA SANFONADA A4 COR TRANSPARENTE 31 DIVISÓRIAS</t>
  </si>
  <si>
    <t>pasta sanfonada a4 cor transparente 31 divisórias</t>
  </si>
  <si>
    <t>BORRACHA C/ CAPA PLÁSTICA, NÃO TÓXICA, ERGONÔMICA</t>
  </si>
  <si>
    <t>borracha c/ capa plástica, não tóxica, ergonômica</t>
  </si>
  <si>
    <t>CORRETIVO EM FITA 0 LARGURA: 5,0 MM E COMPRIMENTO: 8 MT.</t>
  </si>
  <si>
    <t>corretivo em fita 0 largura: 5,0 mm e comprimento: 8 mt.</t>
  </si>
  <si>
    <t>FITA ADESIVA DUPLA FACE FIXA FORTE 19MMX20M SUPORTANDO 3,4KG POR METRO, TRANSPARENTE, SUBSTITUI PARAFUSOS, PREGOS, REBITES E ETC. ROLO COM 20MT.</t>
  </si>
  <si>
    <t>fita adesiva dupla face fixa forte 19mmx20m suportando 3,4kg por metro, transparente, substitui parafusos, pregos, rebites e etc. rolo com 20mt.</t>
  </si>
  <si>
    <t>FITA ADESIVA TRANSPARENTE LARGA 48MMX100M</t>
  </si>
  <si>
    <t>fita adesiva transparente larga 48mmx100m</t>
  </si>
  <si>
    <t>FITA ADESIVA PARA EMPACOTAMENTO 45MM X 50M, TRANSPARENTE EM FILME DE POLIPROPILENO BIORENTADO, COLA ACRÍLICA</t>
  </si>
  <si>
    <t>fita adesiva para empacotamento 45mm x 50m, transparente em filme de polipropileno biorentado, cola acrílica</t>
  </si>
  <si>
    <t>FITA CREPE LARGA TAM. 48 MM X 50M.</t>
  </si>
  <si>
    <t>fita crepe larga tam. 48 mm x 50m.</t>
  </si>
  <si>
    <t>FITA ADESIVA TRANSPARENTE - 18MM X 50M</t>
  </si>
  <si>
    <t>fita adesiva transparente - 18mm x 50m</t>
  </si>
  <si>
    <t>FITA DUPLA FACE 18 MM X 30 M</t>
  </si>
  <si>
    <t>fita dupla face 18 mm x 30 m</t>
  </si>
  <si>
    <t>ALMOFADA PARA CARIMBO Nº 03 COR VERMELHA</t>
  </si>
  <si>
    <t>almofada para carimbo nº 03 cor vermelha</t>
  </si>
  <si>
    <t>ALMOFADA PARA CARIMBO Nº 03 COR preta</t>
  </si>
  <si>
    <t>almofada para carimbo nº 03 cor preta</t>
  </si>
  <si>
    <t>PILHA ALCALINA AA recarregável CARTELA COM 02 UNIDADES</t>
  </si>
  <si>
    <t>pilha alcalina aa recarregável cartela com 02 unidades</t>
  </si>
  <si>
    <t>cartela</t>
  </si>
  <si>
    <t>PILHA ALCALINA DE 1,5 V AAA recarregável cartela com 2 unidades</t>
  </si>
  <si>
    <t>pilha alcalina de 1,5 v aaa recarregável cartela com 2 unidades</t>
  </si>
  <si>
    <t>LÁPIS GRAFITE, GRADUAÇÃO 2B, FORMATO SEXTAVADO, COM BORRACHA caixa com 12 unidades</t>
  </si>
  <si>
    <t>lápis grafite, graduação 2b, formato sextavado, com borracha caixa com 12 unidades</t>
  </si>
  <si>
    <t>Lapiseira em material plástico com recarga 0,07mm com prendedor, ponta e acionador em metal com borracha</t>
  </si>
  <si>
    <t>lapiseira em material plástico com recarga 0,07mm com prendedor, ponta e acionador em metal com borracha</t>
  </si>
  <si>
    <t>Grafite 0,07 mm caixa com 12 tubos</t>
  </si>
  <si>
    <t>grafite 0,07 mm caixa com 12 tubos</t>
  </si>
  <si>
    <t>Carregador de pilhas AA e AAA</t>
  </si>
  <si>
    <t>carregador de pilhas aa e aaa</t>
  </si>
  <si>
    <t>Mobiliário e eletrodomésticos</t>
  </si>
  <si>
    <t xml:space="preserve">Ventilador de coluna de 40cm </t>
  </si>
  <si>
    <t xml:space="preserve">ventilador de coluna de 40cm </t>
  </si>
  <si>
    <t>Atender a NR 17, visando o conforto térmico no ambiente de trabalho - segurança do trabalho</t>
  </si>
  <si>
    <t>Bebedouro para galões de 20L com sistema de refrigeração</t>
  </si>
  <si>
    <t>bebedouro para galões de 20l com sistema de refrigeração</t>
  </si>
  <si>
    <t>Atender a NR 24, visando as condições de higiene e segurança do trabalho</t>
  </si>
  <si>
    <t>Fogão com 4 bocas</t>
  </si>
  <si>
    <t>fogão com 4 bocas</t>
  </si>
  <si>
    <t>Armário de cozinha embutida 4 portas</t>
  </si>
  <si>
    <t>armário de cozinha embutida 4 portas</t>
  </si>
  <si>
    <t>Mobiliário para reposição e/ou aquisição de mobiliário adaptado e/ou sob medida</t>
  </si>
  <si>
    <t>mobiliário para reposição e/ou aquisição de mobiliário adaptado e/ou sob medida</t>
  </si>
  <si>
    <t>Atender a NR 17, visando a ergonomia e segurança no ambiente de trabalho</t>
  </si>
  <si>
    <t>m²</t>
  </si>
  <si>
    <t>Cadeiras de escritório</t>
  </si>
  <si>
    <t>cadeiras de escritório</t>
  </si>
  <si>
    <t>Prateleiras/Estantes e balcões em aço reforçado</t>
  </si>
  <si>
    <t>prateleiras/estantes e balcões em aço reforçado</t>
  </si>
  <si>
    <t>Armários em aço reforçado</t>
  </si>
  <si>
    <t>armários em aço reforçado</t>
  </si>
  <si>
    <t>Descanso ergonômico para pés</t>
  </si>
  <si>
    <t>descanso ergonômico para pés</t>
  </si>
  <si>
    <t>Obras e serviços de engenharia</t>
  </si>
  <si>
    <t>Trena de fita de aço 10m</t>
  </si>
  <si>
    <t>trena de fita de aço 10m</t>
  </si>
  <si>
    <t>Aquisição de instrumentos para medições e verificação de medidas</t>
  </si>
  <si>
    <t>Trena laser digital</t>
  </si>
  <si>
    <t>trena laser digital</t>
  </si>
  <si>
    <t>Trena de 50m de Fibra</t>
  </si>
  <si>
    <t>trena de 50m de fibra</t>
  </si>
  <si>
    <t>Infraestrutura urbana - Iluminação pública</t>
  </si>
  <si>
    <t>infraestrutura urbana - iluminação pública</t>
  </si>
  <si>
    <t>Gestão, melhoria, manutenção e instalação referente ao sistema de iluminação pública</t>
  </si>
  <si>
    <t>obras e manutenção</t>
  </si>
  <si>
    <t>Infraestrutura urbana - pavimentação</t>
  </si>
  <si>
    <t>infraestrutura urbana - pavimentação</t>
  </si>
  <si>
    <t>Realização de obras e serviços de pavimentação de diversas vias</t>
  </si>
  <si>
    <t>Conforme demandas e disponibilidade de recursos</t>
  </si>
  <si>
    <t>Infraestrutura urbana - recapeamento asfáltico</t>
  </si>
  <si>
    <t>infraestrutura urbana - recapeamento asfáltico</t>
  </si>
  <si>
    <t>Realização de obras e serviços de recapeamento asfáltico de diversas vias</t>
  </si>
  <si>
    <t>Infraestrutura urbana - drenagem urbana</t>
  </si>
  <si>
    <t>infraestrutura urbana - drenagem urbana</t>
  </si>
  <si>
    <t>Realização de obras e serviços de drenagem e galerias de águas pluviais de diversos locais e vias</t>
  </si>
  <si>
    <t>Infraestrutura urbana - Pontes, taludes e gabiões</t>
  </si>
  <si>
    <t>infraestrutura urbana - pontes, taludes e gabiões</t>
  </si>
  <si>
    <t>Realização de manutenção, construção e conservação de pontes, taludes e gabiões</t>
  </si>
  <si>
    <t>Infraestrutura urbana - Viadutos e passarelas</t>
  </si>
  <si>
    <t>infraestrutura urbana - viadutos e passarelas</t>
  </si>
  <si>
    <t>Realização de manutenção, construção e conservação de viadutos e/ou passarelas</t>
  </si>
  <si>
    <t xml:space="preserve">serviços comuns, reparos e manutenção em PRÓPRIOS MUNICIPAIS </t>
  </si>
  <si>
    <t xml:space="preserve">serviços comuns, reparos e manutenção em próprios municipais </t>
  </si>
  <si>
    <t>Realização de manutenção, reparos e serviços diversos em prédios municipais de diversas secretarias</t>
  </si>
  <si>
    <t xml:space="preserve">Serviços e Obras de engenharia - CONSTRUÇÃO, REFORMA E AMPLIAÇÃO COM RECURSOS DE EMENDA PARLAMENTAR </t>
  </si>
  <si>
    <t xml:space="preserve">serviços e obras de engenharia - construção, reforma e ampliação com recursos de emenda parlamentar </t>
  </si>
  <si>
    <t>Realização de obras e serviços de engenharia de diversos tipos com recursos provindos de emendas parlamentares/transferências especiais</t>
  </si>
  <si>
    <t>sim</t>
  </si>
  <si>
    <t>por transferência</t>
  </si>
  <si>
    <t>Serviços e Obras de engenharia - CONSTRUÇÃO, REFORMA E AMPLIAÇÃO COM RECURSOS DE CONVÊNIO ESTADUAL</t>
  </si>
  <si>
    <t>serviços e obras de engenharia - construção, reforma e ampliação com recursos de convênio estadual</t>
  </si>
  <si>
    <t>Realização de obras e serviços de engenharia de diversos tipos com recursos provindos de convênios firmados com o governo do Estado de São Paulo</t>
  </si>
  <si>
    <t>por convênio</t>
  </si>
  <si>
    <t>Serviços e Obras de engenharia - CONSTRUÇÃO, REFORMA E AMPLIAÇÃO COM RECURSOS DE CONVÊNIO FEDERAL</t>
  </si>
  <si>
    <t>serviços e obras de engenharia - construção, reforma e ampliação com recursos de convênio federal</t>
  </si>
  <si>
    <t>Realização de obras e serviços de engenharia de diversos tipos com recursos provindos de convênios firmados com o governo Federal</t>
  </si>
  <si>
    <t>Serviços e Obras de engenharia - CONSTRUÇÃO, REFORMA E AMPLIAÇÃO COM RECURSOS PRÓPRIOS</t>
  </si>
  <si>
    <t>serviços e obras de engenharia - construção, reforma e ampliação com recursos próprios</t>
  </si>
  <si>
    <t>Realização de obras e serviços de engenharia de diversos tipos com recursos do tesouro municipal provindos da necessidade das demais secretarias municipais</t>
  </si>
  <si>
    <t>por obra</t>
  </si>
  <si>
    <t>Demais serviços que demandam apoio técnico de serviços de engenharia</t>
  </si>
  <si>
    <t>Secretaria  de Políticas para a Mulher</t>
  </si>
  <si>
    <t>DESCRIÇÃO SUCINTA</t>
  </si>
  <si>
    <t>DATA DESEJADA DO CONTRATO OU ADITIVO</t>
  </si>
  <si>
    <t>RENOVAÇÃO DE CONTRATO</t>
  </si>
  <si>
    <t>SECRETARIA OU ÓRÂO REQUISITANTE</t>
  </si>
  <si>
    <t>MILCLEAN- SERVIÇO DE LIMPEZA</t>
  </si>
  <si>
    <t>CONTÍNUO</t>
  </si>
  <si>
    <t>LIMPEZA</t>
  </si>
  <si>
    <t>Sim- contrato nº 16/2019</t>
  </si>
  <si>
    <t>SADS</t>
  </si>
  <si>
    <t>PAROTEFON- SERVIÇO FUNERARIO</t>
  </si>
  <si>
    <t>FUNERAL</t>
  </si>
  <si>
    <t>Sim- contrato nº 340/2021</t>
  </si>
  <si>
    <t>MAQUIM- SERVIÇO DE IMPRESSÃO</t>
  </si>
  <si>
    <t>Sim- contrato nº 228/2020</t>
  </si>
  <si>
    <t>VELLOZNET-SERVIÇO DE INTERNET</t>
  </si>
  <si>
    <t>INTERNET</t>
  </si>
  <si>
    <t>Sim- contrato nº 512/2020</t>
  </si>
  <si>
    <t>SECURE-SERVIÇO DE SEGURANÇA</t>
  </si>
  <si>
    <t>SEGURANÇA</t>
  </si>
  <si>
    <t>Sim- contrato nº453/2021</t>
  </si>
  <si>
    <t>BELA- DISTRIBUIÇÃO DE GÁS</t>
  </si>
  <si>
    <t>PRODUTO</t>
  </si>
  <si>
    <t>FORNECIMENTO DE GÁS</t>
  </si>
  <si>
    <t>Sim- contrato nº 663/2022</t>
  </si>
  <si>
    <t>BELA- DISTRIBUIÇÃO DE ÁGUA</t>
  </si>
  <si>
    <t>FORNECIMENTO ÁGUA</t>
  </si>
  <si>
    <t>IMEDIATO, CONTRATO VENCIDO</t>
  </si>
  <si>
    <t>Sim- contrato nº 167/2022</t>
  </si>
  <si>
    <t>CESTA BÁSICA- DISTRIBUIÇÃO DE ALIMENTOS</t>
  </si>
  <si>
    <t>ano</t>
  </si>
  <si>
    <t>FORNECIMENTO DE CESTA BÁSICA</t>
  </si>
  <si>
    <t>Sim- contrato nº162/2023</t>
  </si>
  <si>
    <t>GRÁFICA</t>
  </si>
  <si>
    <t>FORNECIMENTO DE MATERIAL GRÁFICO</t>
  </si>
  <si>
    <t>Sim- contrato nº466/2023</t>
  </si>
  <si>
    <t>CAFÉ</t>
  </si>
  <si>
    <t>FORNECIMENTO DE PRODUTO ALIMENTÍCIO</t>
  </si>
  <si>
    <t>CAPACITAÇÃO PARA FUNCIONÁRIOS E TÉCNICOS</t>
  </si>
  <si>
    <t>EDUCAÇÃO PERMANENTE</t>
  </si>
  <si>
    <t>300.00,00</t>
  </si>
  <si>
    <t>CURSO DE CAPACITAÇÃO PARA USUÁRIOS</t>
  </si>
  <si>
    <t>EDUCAÇÃO PROFICIONALIZANTE</t>
  </si>
  <si>
    <t>400.00,00</t>
  </si>
  <si>
    <t>MICROFONE</t>
  </si>
  <si>
    <t>PERMANENTE</t>
  </si>
  <si>
    <t>SOM E ACÚSTICA</t>
  </si>
  <si>
    <t>MÉDIO</t>
  </si>
  <si>
    <t>APARELHO DE DVD</t>
  </si>
  <si>
    <t>CAIXA ACUSTICA</t>
  </si>
  <si>
    <t>INSTRUMENTO MÚSICAL CAJON</t>
  </si>
  <si>
    <t>INSTRUMENTO MÚSICAL CASTANHOLA</t>
  </si>
  <si>
    <t>INSTRUMENTO MÚSICAL CHOCALHO</t>
  </si>
  <si>
    <t>INSTRUMENTO MUSICAL PANDEIRO</t>
  </si>
  <si>
    <t>INSTRUMENTO MÚSICAL TECLADO</t>
  </si>
  <si>
    <t>INSTRUMENTO MÚSICAL VIOLÃO</t>
  </si>
  <si>
    <t>SUPORTE PARA PARTITURA MÚSICAL</t>
  </si>
  <si>
    <t>CAFETEIRA ELÉTRICA</t>
  </si>
  <si>
    <t>ELETRO</t>
  </si>
  <si>
    <t>FORNO MICROONDAS</t>
  </si>
  <si>
    <t>LAVADORA DE ROUPA DE8 ATE 12KG</t>
  </si>
  <si>
    <t>PIPOQUEIRA ELÉTRICA</t>
  </si>
  <si>
    <t>PURIFICADOR DE ÁGUA</t>
  </si>
  <si>
    <t>RELÓGIO PAREDE</t>
  </si>
  <si>
    <t>UTILIDADE</t>
  </si>
  <si>
    <t>SANDUICHEIRA ELÉTRICA</t>
  </si>
  <si>
    <t>TAPETE EMBORRACHADO</t>
  </si>
  <si>
    <t>TELEVISÃO</t>
  </si>
  <si>
    <t>VENTILADOR DECOLUNA OU PEDESTTAL</t>
  </si>
  <si>
    <t>XICARAS C/12 PEÇAS</t>
  </si>
  <si>
    <t>ASPIRADOR DE PÓ</t>
  </si>
  <si>
    <t>BANDEJA PARA GARÇOM</t>
  </si>
  <si>
    <t>BATEDEIRA PLANETARIA</t>
  </si>
  <si>
    <t>BEBEDOURO ELÉTRICO DE MESA</t>
  </si>
  <si>
    <t>BOTIJÃO DE GÁS</t>
  </si>
  <si>
    <t>COLHER PARA REFEIÇÃO DE INOX</t>
  </si>
  <si>
    <t>DUZIA</t>
  </si>
  <si>
    <t>COLHER PARA SOBREMESA INOX</t>
  </si>
  <si>
    <t>CORTINA - PERCIANA 1,70 LARGURA X 2,30 ALTURA</t>
  </si>
  <si>
    <t>CORTINA - PERSIANA 1,40 DE LARGURA X 1,60 DE ALTURA</t>
  </si>
  <si>
    <t>DESCASCADOR DE LEGUMES</t>
  </si>
  <si>
    <t>DISPENSER PARA COPO DESCARTÁVEL KIT C/ 3</t>
  </si>
  <si>
    <t>ESPELHO DE PAREDE</t>
  </si>
  <si>
    <t>ESPREMEDOR DE FRUTAS</t>
  </si>
  <si>
    <t>FACA PARA REFEIÇÃO DE INOX</t>
  </si>
  <si>
    <t>FOGÃO</t>
  </si>
  <si>
    <t>FREEZER HORIZONTAL</t>
  </si>
  <si>
    <t>GARFO PARA REFEIÇÃO DE INOX</t>
  </si>
  <si>
    <t>GARRAFA TÉRMICA 2,5 LITROS</t>
  </si>
  <si>
    <t>GELADEIRA FROST FREE DUPLEX 340 LITROS OU ATE 450 LITROS</t>
  </si>
  <si>
    <t>JARRA DE ÁGUA</t>
  </si>
  <si>
    <t>JOGO DE PANELA C/ 5 PEÇAS</t>
  </si>
  <si>
    <t>JOGOS DE COPO C/6 UNIDADES</t>
  </si>
  <si>
    <t>LAVADOR DE ALTA PRESSÃO</t>
  </si>
  <si>
    <t>MÁQUINA DE COSTURA PORTATIL</t>
  </si>
  <si>
    <t>MULTI PROCESSADOR</t>
  </si>
  <si>
    <t>PRATO DE SOBREMESA DE VIDRO</t>
  </si>
  <si>
    <t>PRATO FUNDO DE VIDRO</t>
  </si>
  <si>
    <t>PRATO RASO DE VIDRO</t>
  </si>
  <si>
    <t>POTE DE PLASTICO KIT C/4 POTES</t>
  </si>
  <si>
    <t>VARAL DE BANDEIRINHAS 100 M</t>
  </si>
  <si>
    <t>ESCORREDOR DE PRATO</t>
  </si>
  <si>
    <t>FORMINHA DE CUPCAKE PACOTE C/ 50</t>
  </si>
  <si>
    <t>DESCARTÁVEL</t>
  </si>
  <si>
    <t>FÓSFOROS PALITO GRANDE</t>
  </si>
  <si>
    <t>RODO DE PIA</t>
  </si>
  <si>
    <t>NOTEBOOK</t>
  </si>
  <si>
    <t>INFORMÁTICA</t>
  </si>
  <si>
    <t>PROJETOR MULTIMIDIA</t>
  </si>
  <si>
    <t>PASSADOR DE SLIDES</t>
  </si>
  <si>
    <t>TELA PROJEÇÃO</t>
  </si>
  <si>
    <t>ROTEADOR WI-FI</t>
  </si>
  <si>
    <t>SUPORTE PARA PROJETOR</t>
  </si>
  <si>
    <t>SUPORTE PARA TELA DE PROJEÇÃO</t>
  </si>
  <si>
    <t>SUPORTE PARA TV UNIVERSAL ARTICULADO DE 26 A 55 POLEGADAS</t>
  </si>
  <si>
    <t>TELEFONE SEM FIO</t>
  </si>
  <si>
    <t>Cabo HDMI / HDMI</t>
  </si>
  <si>
    <t>CABO HDMI / USB</t>
  </si>
  <si>
    <t>CÂMERA FOTOGRÁFICA / FILMADORA DIGITAL</t>
  </si>
  <si>
    <t>CELULAR SMARTFONE</t>
  </si>
  <si>
    <t>COMPUTADOR</t>
  </si>
  <si>
    <t>ESTABILIZADOR</t>
  </si>
  <si>
    <t>MONITOR</t>
  </si>
  <si>
    <t>EXTENSÃO TOMADA 3 METROS</t>
  </si>
  <si>
    <t>HD EXTERNO</t>
  </si>
  <si>
    <t>MODEM 5G INTERNET</t>
  </si>
  <si>
    <t>IMPESSORA SCANER</t>
  </si>
  <si>
    <t>MOUSE</t>
  </si>
  <si>
    <t>MOUSE PAD</t>
  </si>
  <si>
    <t>CORETIVO Á BASE DE ÁGUA CAIXA C/6</t>
  </si>
  <si>
    <t>ESCRITÓRIO</t>
  </si>
  <si>
    <t>LÁPIS DE COR CAIXA C/ 12 CORES + 3 TONS DE PELE</t>
  </si>
  <si>
    <t>LIVRO CAÇA PALAVRAS 50 UNIDADES</t>
  </si>
  <si>
    <t>MASSINHA COLORIDA</t>
  </si>
  <si>
    <t>PAPEL CREPOM ENCERADO</t>
  </si>
  <si>
    <t>PASTA COM ELÁSTICO C 10</t>
  </si>
  <si>
    <t>APONTADOR DE LÁPIS CAIXA C/ 24</t>
  </si>
  <si>
    <t>CADERNO 10 MATÉRIAS</t>
  </si>
  <si>
    <t>CADERNO DE BROCHURA C 10</t>
  </si>
  <si>
    <t>CANETA ESFEROGRÁFICA PRETA</t>
  </si>
  <si>
    <t>CANETA ESFEROGRÁFICA VERMELHA</t>
  </si>
  <si>
    <t>CANETA ESFEROGRÁFICA AZUL</t>
  </si>
  <si>
    <t>CANETINHA HIDROCOR EMBALAGEM C/ 12 CORES</t>
  </si>
  <si>
    <t>CARTELA DE BINGO KIT C/15 BLOCOS</t>
  </si>
  <si>
    <t>CARTOLINA COLORIDA C/100</t>
  </si>
  <si>
    <t>CLIPES 2/0 C/720</t>
  </si>
  <si>
    <t>COLA BRANCA EMBALAGEM DE 500G</t>
  </si>
  <si>
    <t>COLA DE SILICONE</t>
  </si>
  <si>
    <t>COLA DE TECIDO</t>
  </si>
  <si>
    <t>COPO PLASTICO DESCARTAVEL 180ML COM 100 UNIDADES</t>
  </si>
  <si>
    <t>PACOTES</t>
  </si>
  <si>
    <t>ENVELOPE PARDO C/250</t>
  </si>
  <si>
    <t>ENVELOPE CARTA C/ 1000</t>
  </si>
  <si>
    <t>ENVELOPE CONVITE PRETO C/100</t>
  </si>
  <si>
    <t>EVA COLORIDO C/ 10</t>
  </si>
  <si>
    <t>EXTRATOR DE GRAMPO DE PAPEL</t>
  </si>
  <si>
    <t>FITA CREPE C/6</t>
  </si>
  <si>
    <t>FITA CREPE LARGA C/10</t>
  </si>
  <si>
    <t>FITA DUPLA FACE</t>
  </si>
  <si>
    <t>UNIDADES</t>
  </si>
  <si>
    <t>FITA DUREX LARGA PACOTE C/4</t>
  </si>
  <si>
    <t>FITA METALOIDE ROLO COM 10 METROS</t>
  </si>
  <si>
    <t>ROLOS</t>
  </si>
  <si>
    <t>FITA MÉTRICA</t>
  </si>
  <si>
    <t>FOLHA PARA DESENHO GRAMATURA 150G/M² com 20 folhas</t>
  </si>
  <si>
    <t>BLOCOS</t>
  </si>
  <si>
    <t>Giz de cera, caixa com 12 cores</t>
  </si>
  <si>
    <t>CAIXAS</t>
  </si>
  <si>
    <t>GLITTER 100G</t>
  </si>
  <si>
    <t>GRAMPEADOR</t>
  </si>
  <si>
    <t>GRAMPO PARA GRAMPEADOR CAIXA C/5000 UNIDADES</t>
  </si>
  <si>
    <t>PLASTICO PARA PASTA C/1000</t>
  </si>
  <si>
    <t>REGUA 50 CM</t>
  </si>
  <si>
    <t>ROLO DE PAPEL CONTACT 10M</t>
  </si>
  <si>
    <t>ROLO DE PAPEL PARDO</t>
  </si>
  <si>
    <t>PORTA LÁPIS</t>
  </si>
  <si>
    <t>QUADRO DE AVISO BRANCO PLANEJAMENTO MENSAL</t>
  </si>
  <si>
    <t>GUILHOTINA DE PAPEL</t>
  </si>
  <si>
    <t>BOLA DE VÔLEI</t>
  </si>
  <si>
    <t>JOGO/INFANTIL</t>
  </si>
  <si>
    <t>Jogo da memória JOGO DA MEMÓRIA</t>
  </si>
  <si>
    <t>JOGO DE BOLICHE</t>
  </si>
  <si>
    <t>JOGO DE IMAGEM E AÇÃO</t>
  </si>
  <si>
    <t>JOGO DOMINÓ</t>
  </si>
  <si>
    <t>JOGO QUEBRA CABEÇAS 500 PEÇAS</t>
  </si>
  <si>
    <t>JOGO UNO</t>
  </si>
  <si>
    <t>TABULEIRO DE JOGO DE BINGO</t>
  </si>
  <si>
    <t>CASA DE INFANTIL</t>
  </si>
  <si>
    <t>CAMA ELÁSTICA</t>
  </si>
  <si>
    <t>PISCINA DE BOLINHA 2X2 COMPLETA</t>
  </si>
  <si>
    <t>MÁQUINA DE PICOTAR PAPEL</t>
  </si>
  <si>
    <t>ESCRITORIO</t>
  </si>
  <si>
    <t>MESA DE PLÁSTICO</t>
  </si>
  <si>
    <t>MOBILIA</t>
  </si>
  <si>
    <t>MESA DE REUNIÃO</t>
  </si>
  <si>
    <t>MESA ESCRITÓRIO</t>
  </si>
  <si>
    <t>MESA PARA ATIVIDADES 3 METROS</t>
  </si>
  <si>
    <t>AMÁRIO DE COZINHA AÇO 8 PORTAS</t>
  </si>
  <si>
    <t>ARMÁRIO DE ESCRITÓRIO</t>
  </si>
  <si>
    <t>ARQUIVO DE AÇO COM 4 GAVETAS</t>
  </si>
  <si>
    <t>CADEIRA DE ESCRITÓRIO</t>
  </si>
  <si>
    <t>CADEIRA DE PLÁSTICO</t>
  </si>
  <si>
    <t>CADEIRA ERGONÔMICA</t>
  </si>
  <si>
    <t>CONDICIONADOR DE AR PORTÁTIL</t>
  </si>
  <si>
    <t>CONJUNTO DE MESA INFANTIL</t>
  </si>
  <si>
    <t>ESTANTE DE AÇO</t>
  </si>
  <si>
    <t>FRALDÁRIO</t>
  </si>
  <si>
    <t>POLTRONA DE 2 LUGARES</t>
  </si>
  <si>
    <t>TENDA BARRACA</t>
  </si>
  <si>
    <t>ÁRVORE DE NATAL 2,10 METROS</t>
  </si>
  <si>
    <t>FESTÃO DE NATAL</t>
  </si>
  <si>
    <t>DECORAÇÃO</t>
  </si>
  <si>
    <t>GUIRLANDA</t>
  </si>
  <si>
    <t>PISCA, PISCA DE NATAL</t>
  </si>
  <si>
    <t>BALÃO DE BEXIGA 9' VERDE, AMARELO, BRANCA, AZUL,ROSA, LILÁS, LARANJA , VERMELHO C/50</t>
  </si>
  <si>
    <t>COMPRESSOR PARA BEXIGA</t>
  </si>
  <si>
    <t>TIARA CHAPÉU QUADRILHA FEMININO C/12</t>
  </si>
  <si>
    <t>FIGURINO E DECORAÇÃO</t>
  </si>
  <si>
    <t>CHAPÉU QUADRILHA MASCULINO ADULTO</t>
  </si>
  <si>
    <t>COLAR HAVAIANO</t>
  </si>
  <si>
    <t>INSETICIDA</t>
  </si>
  <si>
    <t>HIGIENE E LIMPEZA</t>
  </si>
  <si>
    <t>ESCADA 4 DEGRAUS</t>
  </si>
  <si>
    <t>FERRAMENTA</t>
  </si>
  <si>
    <t>ESCADA 6 DEGRAUS</t>
  </si>
  <si>
    <t>FURADEIRA EELÉTRICA</t>
  </si>
  <si>
    <t>LÂMPADA DE LED, 12W</t>
  </si>
  <si>
    <t>LIXEIRA C/ TAMPA</t>
  </si>
  <si>
    <t>TAMPA PARA VASO SANITÁRIO</t>
  </si>
  <si>
    <t>UTILITARIO</t>
  </si>
  <si>
    <t>SULFITE A4 120 GR</t>
  </si>
  <si>
    <t>MINI BAND - RESITÊNCIA MÉDIA</t>
  </si>
  <si>
    <t>PILATES</t>
  </si>
  <si>
    <t>ANEL DE PILATTES</t>
  </si>
  <si>
    <t>BARRA DE APOIO</t>
  </si>
  <si>
    <t>BOLAS DE PILATES - 25 CM; MINI BOLA</t>
  </si>
  <si>
    <t>CANEILEIRA 3KG</t>
  </si>
  <si>
    <t>CANELEIRA 1KG</t>
  </si>
  <si>
    <t>CANELEIRA 2KG</t>
  </si>
  <si>
    <t>COLCHONETE IMPERMIAVEL</t>
  </si>
  <si>
    <t>HALTERES 2KG</t>
  </si>
  <si>
    <t>PARES</t>
  </si>
  <si>
    <t>HALTERES 1KG</t>
  </si>
  <si>
    <t>HALTERES 3KG</t>
  </si>
  <si>
    <t>THERBAND</t>
  </si>
  <si>
    <t>MILHO DE PIPOCA PAC/ 500G</t>
  </si>
  <si>
    <t>QUILO</t>
  </si>
  <si>
    <t>ALIMENTÍCIO</t>
  </si>
  <si>
    <t>MINI OVO DE PÁSCOA</t>
  </si>
  <si>
    <t>PAPEL MANTEIGA ROLO DE 20 METROS</t>
  </si>
  <si>
    <t>PÉ DE MOLEQUE PACOTE COM 50 UNIDADES</t>
  </si>
  <si>
    <t>AÇUCAR</t>
  </si>
  <si>
    <t>AÇÚCAR CRISTAL</t>
  </si>
  <si>
    <t>AÇÚCAR MASCAVO</t>
  </si>
  <si>
    <t>ALHO</t>
  </si>
  <si>
    <t>AMIDO DE MILHO</t>
  </si>
  <si>
    <t>AZEITONAS</t>
  </si>
  <si>
    <t>BANANA</t>
  </si>
  <si>
    <t>BARRA DE CHOCOLATE BRANCO 500G</t>
  </si>
  <si>
    <t>BARRA DE CHOCOLATE MEIO AMARGO 2,10 KG</t>
  </si>
  <si>
    <t>BARRA DE CHOCOLATES AO LEITE 2,1 KG</t>
  </si>
  <si>
    <t>BATATA INGLESA</t>
  </si>
  <si>
    <t>BAUNILHA 30ML</t>
  </si>
  <si>
    <t>BICARBONATO</t>
  </si>
  <si>
    <t>BISCOITO DOCE</t>
  </si>
  <si>
    <t>BISCOITO REDONDO TIPO MARIA</t>
  </si>
  <si>
    <t>BOLACHA ÁGUA E SAL PACOTE DE 360g</t>
  </si>
  <si>
    <t>CANELA EM PÓ PACOTE 40G</t>
  </si>
  <si>
    <t>CASQUINHA DE SORVETE CIXA C/300UNID.</t>
  </si>
  <si>
    <t>CEBOLA</t>
  </si>
  <si>
    <t>CENOURA</t>
  </si>
  <si>
    <t>CHANTILY</t>
  </si>
  <si>
    <t>CHOCOLATE EM PÓ SOLÚVEL CAIXA 200G</t>
  </si>
  <si>
    <t>CHOCOLATE GRANULADO 500G</t>
  </si>
  <si>
    <t>COCO RALADO</t>
  </si>
  <si>
    <t>CORANTE GEL ALIMENTÍCIO, CORES: AZUL, VERMELHO, AMARELO, VERDE, LARANJA, 3 DE CADA COR.</t>
  </si>
  <si>
    <t>CRAVO EM PÓ PACOTE 100 g</t>
  </si>
  <si>
    <t>CREME DE LEITE</t>
  </si>
  <si>
    <t>DETERGENTE LAVA LOUÇAS EMBALAGEM C/500ML</t>
  </si>
  <si>
    <t>DOCE DE LEITE PACOTE COM 50 UNIDADES</t>
  </si>
  <si>
    <t>ESPONJA MULTIUSO LAVA LOUÇAS PACOTE COM 4 UNID.</t>
  </si>
  <si>
    <t>FARINHA DE MILHO AMARELA FLOCADA 500G</t>
  </si>
  <si>
    <t>FARINHA DE TRIGO</t>
  </si>
  <si>
    <t>FERMENTO BIOLÓGICO SECO 10G</t>
  </si>
  <si>
    <t>FERMENTO EM PÓ QUÍMICO 100G</t>
  </si>
  <si>
    <t>GELADINHO AMERICANO</t>
  </si>
  <si>
    <t>GRANULADO COLORIDO 500G</t>
  </si>
  <si>
    <t>GUARANÁ DE 2 LITROS</t>
  </si>
  <si>
    <t>GARRAFA</t>
  </si>
  <si>
    <t>GUARDANAPO 27,5x32,5cm</t>
  </si>
  <si>
    <t>LARANJA</t>
  </si>
  <si>
    <t>LEITE CONDENSADO</t>
  </si>
  <si>
    <t>LATA</t>
  </si>
  <si>
    <t>LEITE EM PÓ</t>
  </si>
  <si>
    <t>LEITE LONGA VIDA</t>
  </si>
  <si>
    <t>LIMÃO</t>
  </si>
  <si>
    <t>MAÇÃ</t>
  </si>
  <si>
    <t>MAMÃO</t>
  </si>
  <si>
    <t>MARGARINA 500G</t>
  </si>
  <si>
    <t>MEL DE ABELHA</t>
  </si>
  <si>
    <t>MILHO DE PIPOCA</t>
  </si>
  <si>
    <t>MILHO VERDE LATA OU PACOTE</t>
  </si>
  <si>
    <t>MOLHO DE TOMATE</t>
  </si>
  <si>
    <t>ÓLEO DE SOJA</t>
  </si>
  <si>
    <t>ORÉGANO PACOTE 500G</t>
  </si>
  <si>
    <t>OVOS BRANCOS DE GALINHA</t>
  </si>
  <si>
    <t>PAÇOCA DE AMENDOIM ROLHA POTE C/ 50 UNIDADES</t>
  </si>
  <si>
    <t>PAPEL TOALHA ROLO PACOTE COM 2 ROLOS</t>
  </si>
  <si>
    <t>PAPEL TOALHA UTILIZADO PACOTE COM 2 ROLOS</t>
  </si>
  <si>
    <t>PEITO DE FRANGO</t>
  </si>
  <si>
    <t>PERA</t>
  </si>
  <si>
    <t>PLASTICO FILME ROLO C/15M</t>
  </si>
  <si>
    <t>POLVILHO AZEDO</t>
  </si>
  <si>
    <t>POLVILHO DOCE</t>
  </si>
  <si>
    <t>PRESUNTO</t>
  </si>
  <si>
    <t>QUEIJO MUSSARELA</t>
  </si>
  <si>
    <t>REQUEIJÃO 200G</t>
  </si>
  <si>
    <t>POTE</t>
  </si>
  <si>
    <t>SACO DE CONFEITAR DESCARTÁVEL</t>
  </si>
  <si>
    <t>SAL REFINADO</t>
  </si>
  <si>
    <t>SALSICHA PACOTE 5K</t>
  </si>
  <si>
    <t>SUCO EM CAIXA</t>
  </si>
  <si>
    <t>SUCO EM PÓ</t>
  </si>
  <si>
    <t>TOMATE</t>
  </si>
  <si>
    <t>UVA</t>
  </si>
  <si>
    <t>ALUGUEL SADS</t>
  </si>
  <si>
    <t>MÊS/ANO</t>
  </si>
  <si>
    <t>ALUGUEL</t>
  </si>
  <si>
    <t>CONTRATO Nº190/2023</t>
  </si>
  <si>
    <t>ALUGUEL CRAS II</t>
  </si>
  <si>
    <t>CONTRATO Nº209/2023</t>
  </si>
  <si>
    <t>ALUGUEL CRAS I</t>
  </si>
  <si>
    <t>ALUGUEL CAD UNICO</t>
  </si>
  <si>
    <t>CONTRATO Nº193/2023</t>
  </si>
  <si>
    <t>ALUGUEL CPMA</t>
  </si>
  <si>
    <t>CONTRATO Nº56/2023</t>
  </si>
  <si>
    <t>LAZER MELHOR IDADE, TRANSPORTE, INGRESSO E ALIMENTAÇÃO</t>
  </si>
  <si>
    <t>LAZER</t>
  </si>
  <si>
    <t>LAZER CRIANÇAS ASSISTIDAS, TRANSPORTE, INGRESSO E ALIMENTAÇÃO</t>
  </si>
  <si>
    <t>LAZER MULHERES ASSISTIDAS , TRANSPORTE, INGRESSO ALIMENTAÇÃO</t>
  </si>
  <si>
    <t>Pão Francês</t>
  </si>
  <si>
    <t>PADARIA</t>
  </si>
  <si>
    <t>Pão de Forma 500g</t>
  </si>
  <si>
    <t>Pão Bisnaguinha 300g</t>
  </si>
  <si>
    <t>Bolo Diversos 500g</t>
  </si>
  <si>
    <t>Biscoito de polvilho</t>
  </si>
  <si>
    <t>Salgados diversos, pequenos, 18 a 25g (coxinha, bolinho de queijo, esfiha)</t>
  </si>
  <si>
    <t>Bolo de Festa Grande de Fubá cremoso (150 pessoas)</t>
  </si>
  <si>
    <t>Sanduiche individual recheado (pão de leite, presunto, alface, queijo e tomate)</t>
  </si>
  <si>
    <t>Mini panetones 100 g</t>
  </si>
  <si>
    <t>Bolo Salgado grande (150 pessoas) recheio de frango</t>
  </si>
  <si>
    <t>Bolo Doce festa grande (150 pessoas) Frutas com recheio de leite condensado</t>
  </si>
  <si>
    <t>Bolo de Fubá 1kg</t>
  </si>
  <si>
    <t>Bolo de Milho 1kg</t>
  </si>
  <si>
    <t>Bolo Doce festa grande (150 pessoas) Pão de ló, recheio abacaxi com côco</t>
  </si>
  <si>
    <t>Bolo Doce festa grande (150 pessoas) Pão de ló recheio doce de leite</t>
  </si>
  <si>
    <t>Bolo Doce festa grande (150 pessoas) Pão de ló recheio morango com côco</t>
  </si>
  <si>
    <t>Bolo Doce festa grande (50 pessoas) Frutas com recheio de leite condensado</t>
  </si>
  <si>
    <t>Bolo Salgado grande (50 pessoas) recheio de frango</t>
  </si>
  <si>
    <t>SABÃO EM PÓ 500G</t>
  </si>
  <si>
    <t>AGUA SANITÁRIA 2L</t>
  </si>
  <si>
    <t>SACO ALVEJADO 40X62</t>
  </si>
  <si>
    <t>VASSOURA</t>
  </si>
  <si>
    <t>RODO PUXA SECA</t>
  </si>
  <si>
    <t>LAVA LOUÇA CLEAR 500 ML</t>
  </si>
  <si>
    <t>Laudo</t>
  </si>
  <si>
    <t xml:space="preserve">Unidade </t>
  </si>
  <si>
    <t>Participação de Recursos externos</t>
  </si>
  <si>
    <t xml:space="preserve">Grau de prioridade </t>
  </si>
  <si>
    <t>Secretaria ou órgão Requisitante</t>
  </si>
  <si>
    <t>ÁGUA MINERAL - GALÃO 20 LITROS</t>
  </si>
  <si>
    <t>ÁGUA</t>
  </si>
  <si>
    <t>Não - Necessário nova licitação 2024</t>
  </si>
  <si>
    <t>Saúde</t>
  </si>
  <si>
    <t>GALÃO 20 LITROS PARA ÁGUA MINERAL</t>
  </si>
  <si>
    <t>Não - Necessário nova licitação 2025</t>
  </si>
  <si>
    <t>ÁGUA MINERAL SEM GÁS - FARDO COM 12 UNI</t>
  </si>
  <si>
    <t>Não - Necessário nova licitação 2026</t>
  </si>
  <si>
    <t>ÁGUA MINERAL COM GÁS - FARDO COM 12 UNI</t>
  </si>
  <si>
    <t>Não - Necessário nova licitação 2027</t>
  </si>
  <si>
    <t xml:space="preserve">Aluguel Centro de Atenção Psicossocial </t>
  </si>
  <si>
    <t>Locação de imóvel</t>
  </si>
  <si>
    <t>Locação</t>
  </si>
  <si>
    <t>Aluguel de imóveis de terceiros</t>
  </si>
  <si>
    <t>Aluguel ESF Santo Antônio</t>
  </si>
  <si>
    <t>Aluguel SAMU</t>
  </si>
  <si>
    <t>Aluguel UBS Bairro da Cruz</t>
  </si>
  <si>
    <t>ACCU CHEK TENDER LINK / INFUSION SET (CÂNULA COM 17MM E CATETER COM 30CM) CAIXA COM 10 SETS</t>
  </si>
  <si>
    <t>Bomba de insulina</t>
  </si>
  <si>
    <t>ACCU CHEK FLEX LINK / INFUSION SET (CÂNULA COM 8MM E C ATETERCOM 30CM) CAIXA COM 10 SETS</t>
  </si>
  <si>
    <t>ACCU CHEK FLEX LINK / INFUSION SET (CÂNULA COM 8MM E CATETERCOM 60CM) CAIXA COM 10 SETS</t>
  </si>
  <si>
    <t>ACCU-CHEK LINKASSIST INSERTION DEVICE</t>
  </si>
  <si>
    <t>ACCU-CHEK SPIRIT CAPA DE SILICONE COR PRETA</t>
  </si>
  <si>
    <t>ACCU-CHEK SPIRIT CLIP CASE</t>
  </si>
  <si>
    <t>SET DE CARTUCHO PLASTICO DE 3,15ML CAIXA COM 25 UND</t>
  </si>
  <si>
    <t>PILHA, ADAPTADOR, TAMPA DE BATERIA E CHAVE DEPILHA PARA SISTEMA DE INFUSÃO CONTÍNUA DE INSULINA ACCU CHEK - PACOTECOM 4 PILHAS, 2 ADAPTADORES, 1 TAMPA E 1 CHAVE DE PILHAS</t>
  </si>
  <si>
    <t>TIRAS REAGENTES ACCU-CHEK PERFORMA - CAIXA COM 50 TIRAS</t>
  </si>
  <si>
    <t>Combustível - Gasolina</t>
  </si>
  <si>
    <t>Real</t>
  </si>
  <si>
    <t>Combustível</t>
  </si>
  <si>
    <t>Sim - Contrato nº 219/2018</t>
  </si>
  <si>
    <t>Combustível - Óleo Diesel</t>
  </si>
  <si>
    <t>Combustível - Óleo Diesel S10</t>
  </si>
  <si>
    <t>Serviço de Dosimetria  Pessoal</t>
  </si>
  <si>
    <t>Não Contínuo</t>
  </si>
  <si>
    <t>Dosímetria Pessoal</t>
  </si>
  <si>
    <t>Batoque conta glóbulos r.18mm</t>
  </si>
  <si>
    <t>Embalagem Manipulação</t>
  </si>
  <si>
    <t>Batoque sem furo para frasco de vidro ambar R18 - 20mL</t>
  </si>
  <si>
    <t>Bisnaga laminada 20mL - Bisnaga laminada multicamadas com lacre etampa stand-up</t>
  </si>
  <si>
    <t>Bisnaga laminada 65mL - Bisnaga laminada multicamadas com lacre etampa stand-up</t>
  </si>
  <si>
    <t>Blister 00 triplo cor âmbar (para 30 cápsulas)</t>
  </si>
  <si>
    <t>Blister 00 Triplo (Para 30 cápsulas)</t>
  </si>
  <si>
    <t>Blister 0 triplo cor âmbar (para 30 cápsulas)</t>
  </si>
  <si>
    <t>Blister 0 Triplo (Para 30 cápsulas)</t>
  </si>
  <si>
    <t>Blister 1,2 Triplo (Para 30 cápsulas)</t>
  </si>
  <si>
    <t>Blister 3,4 Triplo (Para 30 cápsulas)</t>
  </si>
  <si>
    <t>Bulbo de silicone caramelo</t>
  </si>
  <si>
    <t>Cânula de vidro 75mm</t>
  </si>
  <si>
    <t>Cápsula dura de Gelatina nº0</t>
  </si>
  <si>
    <t>Cápsula dura de Gelatina nº00</t>
  </si>
  <si>
    <t>Cápsula dura de Gelatina nº2</t>
  </si>
  <si>
    <t>Cápsula dura de Gelatina nº3</t>
  </si>
  <si>
    <t>Copo dosador para xarope 10mL</t>
  </si>
  <si>
    <t>Folha de Alumínio para bilster</t>
  </si>
  <si>
    <t>FRASCO DE VIDRO AMBAR (PARA TAMPA LACRE) R18 - 20 ML</t>
  </si>
  <si>
    <t>FRASCO DE VIDRO AMBAR (PARA TAMPA LACRE) R18 - 30 ML</t>
  </si>
  <si>
    <t>Frasco PET âmbar para xarope 100mL R24</t>
  </si>
  <si>
    <t>Frasco plástico branco leitoso com bico conta-gotas e tampa lacre 100mL</t>
  </si>
  <si>
    <t>Sache Cromople, Multicamadas, personalizado, medidas 66x70mm</t>
  </si>
  <si>
    <t>Saco Plástico Transparente Cristal 15x30cm (Material: Polietileno Plástico Cristal; - Espessura: 0,06 Micras; - Plástico</t>
  </si>
  <si>
    <t>Saco Plástico Transparente Cristal 30x40cm (Material: Polietileno Plástico Cristal; - Espessura: 0,06 Micras; - Plástico Virgem).</t>
  </si>
  <si>
    <t>Tampa azul claro com lacre para frasco PET âmbar 100mL R24</t>
  </si>
  <si>
    <t>Tampa branca com lacre para frasco PET âmbar 100mL R24</t>
  </si>
  <si>
    <t>Tampa Din. 18mm branca com lacre</t>
  </si>
  <si>
    <t>Tampa Din. 18mm branca furada com lacre</t>
  </si>
  <si>
    <t>Tampa preta com lacre para frasco PET âmbar 100mL R24</t>
  </si>
  <si>
    <t>Exames de eletrocardiograma com emissão de laudos via internet</t>
  </si>
  <si>
    <t>Exame</t>
  </si>
  <si>
    <t>Sim - Contrato nº 102/2020</t>
  </si>
  <si>
    <t>Exames de  eletroencefalograma com emissão de laudos via internet</t>
  </si>
  <si>
    <t>Ultrassonografia com doppler colorido de aorta e artérias</t>
  </si>
  <si>
    <t>Sim - Contrato nº 43/2021</t>
  </si>
  <si>
    <t>Ultrassonografia com doppler colorido de carótidas</t>
  </si>
  <si>
    <t>Ultrassonografia com doppler colorido de membro inferior</t>
  </si>
  <si>
    <t>Ultrassonografia com doppler colorido de membro superior</t>
  </si>
  <si>
    <t>Ultrassonografia com doppler colorido de órgão ou estrutura isolada</t>
  </si>
  <si>
    <t>Ultrassonografia com doppler  da tireóide</t>
  </si>
  <si>
    <t>Ultrassonografia da tireóide</t>
  </si>
  <si>
    <t>Ultrassonografia de abdomem superior (fígado, visícula,vias biliares)</t>
  </si>
  <si>
    <t>Ultrassonografia de abdomem total</t>
  </si>
  <si>
    <t>Ultrassonografia de aparelho urinário</t>
  </si>
  <si>
    <t>Ultrassonografia de articulação</t>
  </si>
  <si>
    <t>Ultrassonografia de bolsa escrotal</t>
  </si>
  <si>
    <t>Ultrassonografia de globo ocular (órbita monocular)</t>
  </si>
  <si>
    <t>Ultrassonografia de órgão ou estrutura isolada</t>
  </si>
  <si>
    <t>Ultrassonografia de próstata (via transretal)</t>
  </si>
  <si>
    <t>Ultrassonografia de região cervical (pescoço)</t>
  </si>
  <si>
    <t>Ultrassonografia de região ingnal</t>
  </si>
  <si>
    <t>Ultrassonografia de tórax (extracardiaca)</t>
  </si>
  <si>
    <t>Ultrassonografia mamária bilateral</t>
  </si>
  <si>
    <t>Ultrassonografia morfológica</t>
  </si>
  <si>
    <t>Ultrassonografia músculo/tendão/partes moles</t>
  </si>
  <si>
    <t>Ultrassonografia obstétrica</t>
  </si>
  <si>
    <t>Ultrassonografia obstétrica com doppler colorido</t>
  </si>
  <si>
    <t>Ultrassonografia pélvica (ginecológica)</t>
  </si>
  <si>
    <t>Ultrassonografia próstata (via abdominal)</t>
  </si>
  <si>
    <t>Ultrassonografia transfontanela</t>
  </si>
  <si>
    <t>Ultrassonografia transvaginal</t>
  </si>
  <si>
    <t>Laudo Escanometria</t>
  </si>
  <si>
    <t>Não - Necessário nova licitação</t>
  </si>
  <si>
    <t>Laudo Radiografia bilateral de órbitas (pa + oblíquas + hirtz)</t>
  </si>
  <si>
    <t>Laudo Radiografia de sela túrcica</t>
  </si>
  <si>
    <t xml:space="preserve"> Laudo Radiografia da sínfise púbica</t>
  </si>
  <si>
    <t>Laudo Radiografia de abdômen (ap+lateral/localizada)</t>
  </si>
  <si>
    <t>Laudo Radiografia de abdômen agudo (mínimo de 3 incidencias)</t>
  </si>
  <si>
    <t>Laudo Radiografia de abdômen simples (ap)</t>
  </si>
  <si>
    <t>Laudo Radiografia de antebraço</t>
  </si>
  <si>
    <t>Laudo Radiografia de antepé (unilateral)</t>
  </si>
  <si>
    <t>Laudo Radiografia de apófises (estilóides)</t>
  </si>
  <si>
    <t>Laudo Radiografia de arcada zigomatico-malar (ap+ obliquas)</t>
  </si>
  <si>
    <t>Laudo Radiografia de arco costal (unilateral)</t>
  </si>
  <si>
    <t>Laudo Radiografia de art. Sacro-ilíaca</t>
  </si>
  <si>
    <t>Laudo Radiografia de articulação acromio- clavicular</t>
  </si>
  <si>
    <t>Laudo Radiografia de articulação coxo-femoral</t>
  </si>
  <si>
    <t>Laudo Radiografia de articulação escapulo-umeral</t>
  </si>
  <si>
    <t>Laudo Radiografia de articulação esterno- clavicular</t>
  </si>
  <si>
    <t>Laudo Radiografia de articulação sacro-iliaca</t>
  </si>
  <si>
    <t>Laudo Radiografia de articulação temporo- mandibular bilateral</t>
  </si>
  <si>
    <t>Laudo Radiografia de articulação tibio- tarsica</t>
  </si>
  <si>
    <t>Laudo Radiografia de bacia</t>
  </si>
  <si>
    <t>Laudo Radiografia de braço</t>
  </si>
  <si>
    <t>Laudo Radiografia de calcâneo</t>
  </si>
  <si>
    <t>Laudo Radiografia de campo pleuros pulmonares</t>
  </si>
  <si>
    <t>Laudo Radiografia de cavum (lateral+hirtz)</t>
  </si>
  <si>
    <t>Laudo Radiografia de clavícula</t>
  </si>
  <si>
    <t>Laudo Radiografia de coluna cervical (ap+lateral+to/flexão)</t>
  </si>
  <si>
    <t>Laudo Radiografia de coluna cervical (ap+lateral+to+obliquas)</t>
  </si>
  <si>
    <t>Laudo Radiografia de coluna lombo- sacra (2 inc.)</t>
  </si>
  <si>
    <t>Laudo Radiografia de coluna lombo- sacra (c/ obliquas)</t>
  </si>
  <si>
    <t>Laudo Radiografia de coluna toráxica (ap+lateral)</t>
  </si>
  <si>
    <t>Laudo Radiografia de coluna toraco- lombar</t>
  </si>
  <si>
    <t>Laudo Radiografia de coluna toraco- lombar dinamica</t>
  </si>
  <si>
    <t>Laudo Radiografia de costelas (hemitorax)</t>
  </si>
  <si>
    <t>Laudo Radiografia de cotovelo</t>
  </si>
  <si>
    <t>Laudo Radiografia de coxa</t>
  </si>
  <si>
    <t>Laudo Radiografia de crânio (pa + lateral)</t>
  </si>
  <si>
    <t>Laudo Radiografia de cranio (pa+lateral+obliq ua/bretton+hirtz)</t>
  </si>
  <si>
    <t>Laudo Radiografia de dedos da mão</t>
  </si>
  <si>
    <t>Laudo Radiografia de escapulo/ombro (3 posições)</t>
  </si>
  <si>
    <t>Laudo Radiografia de esterno</t>
  </si>
  <si>
    <t>Laudo Radiografia de joelho (ap+lateral)</t>
  </si>
  <si>
    <t>Laudo  Radiografia de joelho ou patela (ap+lateral+axial)</t>
  </si>
  <si>
    <t>Laudo Radiografia de joelho ou patela (ap+lateral+obliqua+3axiais)</t>
  </si>
  <si>
    <t>Laudo Radiografia de laringe</t>
  </si>
  <si>
    <t>Laudo Radiografia de mão</t>
  </si>
  <si>
    <t>Laudo Radiografia de mão e punho (p/ determinação de idade óssea)</t>
  </si>
  <si>
    <t>Laudo Radiografia de mastoide/ rochedos (bilateral)</t>
  </si>
  <si>
    <t>Laudo Radiografia de maxilar (pa+obliqua)</t>
  </si>
  <si>
    <t>Laudo Radiografia de mediastino (pa e perfil)</t>
  </si>
  <si>
    <t>Laudo Radiografia de omoplata/ ombro (três posições)</t>
  </si>
  <si>
    <t>Laudo Radiografia de ossos da face (mn+lateral+hirtz)</t>
  </si>
  <si>
    <t>Laudo Radiografia de pé/ dedos do pé</t>
  </si>
  <si>
    <t>Laudo Radiografia de perna</t>
  </si>
  <si>
    <t>Laudo Radiografia de pneumomediastino</t>
  </si>
  <si>
    <t>Laudo Radiografia de punho (ap+lateral+obliqua)</t>
  </si>
  <si>
    <t>Laudo Radiografia de região orbitaria (localização de corpo estranho)</t>
  </si>
  <si>
    <t>Laudo Radiografia de região sacro- coccigea</t>
  </si>
  <si>
    <t>Laudo Radiografia de seios da face (fn+mn+lateral+hi rtz)</t>
  </si>
  <si>
    <t>Laudo Radiografia de sela túrcica (pa+lateral+brett on)</t>
  </si>
  <si>
    <t>Laudo Radiografia de torax (apico + lordortica)</t>
  </si>
  <si>
    <t>Laudo  Radiografia de torax (pa+ inspiração + expiração + lateral)</t>
  </si>
  <si>
    <t>Laudo Radiografia de torax (pa + perfil)</t>
  </si>
  <si>
    <t>Laudo Radiografia de torax (pa padrão oit)</t>
  </si>
  <si>
    <t>Laudo Radiografia de torax (pa)</t>
  </si>
  <si>
    <t>Laudo Radiografia de torax (pa + lateral + obliqua)</t>
  </si>
  <si>
    <t>Laudo Radiografia de escafóide do carpo (unilateral)</t>
  </si>
  <si>
    <t>Laudo Radiografia do fêmur (unilateral)</t>
  </si>
  <si>
    <t>Laudo Radiografia do hálux (unilateral)</t>
  </si>
  <si>
    <t>Laudo Radiografia do metatarso (unilateral)</t>
  </si>
  <si>
    <t>Laudo  Radiografia de omoplata (unilateral)</t>
  </si>
  <si>
    <t>Laudo Radiografia do pescoço</t>
  </si>
  <si>
    <t>Laudo Radiografia do quadril (unilateral)</t>
  </si>
  <si>
    <t>Laudo Radiografia do úmero (unilateral)</t>
  </si>
  <si>
    <t>Laudo Radiografia panorâmica de membros inferiores</t>
  </si>
  <si>
    <t>Exame de ecocardiografia com doppler colorido adulto</t>
  </si>
  <si>
    <t>Sim - Contrato nº 151/2023</t>
  </si>
  <si>
    <t>Exame de ecocardiografia com doppler colorido infantil</t>
  </si>
  <si>
    <t>Exame de ecocardiografia com stress farmacológico</t>
  </si>
  <si>
    <t>Exame com holter 24 horas</t>
  </si>
  <si>
    <t>MAPA - Monitorização Ambulatorial de Pressão Arterial</t>
  </si>
  <si>
    <t>Sim - Contrato nº 152/2023</t>
  </si>
  <si>
    <t>Teste Ergométrico</t>
  </si>
  <si>
    <t>Realização de contrato ainda em 2023</t>
  </si>
  <si>
    <t>Espirometria</t>
  </si>
  <si>
    <t>Eletroencefalograma</t>
  </si>
  <si>
    <t>COLAGIORRESSONÂNCIA</t>
  </si>
  <si>
    <t>Sim - Contrato nº 69/2021</t>
  </si>
  <si>
    <t>CONTRASTE PARA RESSONÂNCIA</t>
  </si>
  <si>
    <t>ANGIO - RM AORTA ABDOMINAL</t>
  </si>
  <si>
    <t>ANGIO - RM AORTA TORÁCICA</t>
  </si>
  <si>
    <t>ANGIO - RM ARTERIAL MEMBRO INFERIOR (UNILATERAL)</t>
  </si>
  <si>
    <t>ANGIO - RM ARTERIAL DE MEMBRO SUPERIOR (UNILATERAL)</t>
  </si>
  <si>
    <t>ANGIO - RM ARTERIAL DA PELVE</t>
  </si>
  <si>
    <t>ANGIO - RM ARTERIAL DO PESCOÇO</t>
  </si>
  <si>
    <t>ANGIO - RM ARTERIAL DO CRÂNIO</t>
  </si>
  <si>
    <t>ANGIO - RM ARTERIAL PULMONAR</t>
  </si>
  <si>
    <t>ANGIO - RM ARTERIAS PULMONARES</t>
  </si>
  <si>
    <t>ANGIO - RM ARTERIAS RENAIS</t>
  </si>
  <si>
    <t>ANGIO - RM CARÓTIDAS E VERTEBRAIS</t>
  </si>
  <si>
    <t>ANGIO - RM CERVICAL</t>
  </si>
  <si>
    <t>ANGIO - RM DE PELVE OU CRÂNIO OU PESCOÇO - ARTÉRIAS</t>
  </si>
  <si>
    <t>ANGIO - RM INTRACRANIANA VENOSA</t>
  </si>
  <si>
    <t>ANGIO - RM VENOSA DE MEMBRO INFERIOR</t>
  </si>
  <si>
    <t>ANGIO - RM VENOSA DE MEMBRO SUPERIOR</t>
  </si>
  <si>
    <t>ANGIO - RM VENOSA DE PESCOÇO</t>
  </si>
  <si>
    <t>ANGIO - RM VENOSA PULMONAR</t>
  </si>
  <si>
    <t>RESSONÂNCIA MAGNÉTICA COLUNA LOMBO-SACRA</t>
  </si>
  <si>
    <t>RESSONÂNCIA MAGNÉTICA DA ARTICULAÇÃO COXO-FEMURAL (UNILATERAL)</t>
  </si>
  <si>
    <t>RESSONÂNCIA MAGNÉTICA DA ARTICULAÇÃO TEMPORO-MANDIBULAR (BILATERAL)</t>
  </si>
  <si>
    <t>RESSONÂNCIA MAGNÉTICA DA COXA (UNILTERAL)</t>
  </si>
  <si>
    <t>RESSONÂNCIA MAGNÉTICA DA FACE (INCLUI SEIOS DA FACE)</t>
  </si>
  <si>
    <t>RESSONÂNCIA MAGNÉTICA DA HIPÓFISE</t>
  </si>
  <si>
    <t>RESSONÂNCIA MAGNÉTICA DA MÃO (UNILATERAL)</t>
  </si>
  <si>
    <t>RESSONÂNCIA MAGNÉTICA DA PERNA (UNILATERAL)</t>
  </si>
  <si>
    <t>RESONÂNCIA MAGNÉTICA DA SELA TÚRSICA</t>
  </si>
  <si>
    <t>RESSONÂNCIA MAGNÉTICA DE ABDOMEN SUPERIOR</t>
  </si>
  <si>
    <t>RESSONÂNCIA MAGNÉTICA DE ADRENAL</t>
  </si>
  <si>
    <t>RESSONÂNCIA MAGNÉTICA DE ANTEBRAÇO (UNILATERAL)</t>
  </si>
  <si>
    <t>RESSONÂNCIA MAGNÉTICA DE ANTEPÉ (UNILATERAL)</t>
  </si>
  <si>
    <t>RESSONÂNCIA MAGNÉTICA DA BACIA / PELVE</t>
  </si>
  <si>
    <t>RESSONÂNCIA MAGNÉTICA DE BRAÇO (UNILATERAL)</t>
  </si>
  <si>
    <t>RESSONÂNCIA MAGNETICA DE CALCÂNEO (UNILATERAL)</t>
  </si>
  <si>
    <t>RESSONÂNCIA MAGNÉTICA DE CLAVICULA (UNILATERAL)</t>
  </si>
  <si>
    <t>RESSONÂNCIA MAGNÉTICA DE CÓCCIX</t>
  </si>
  <si>
    <t>RESSONÂNCIA MAGNÉTICA DE COLUNA CERVICAL</t>
  </si>
  <si>
    <t>RESSONÂNCIA MAGNÉTICA DE COLUNA TORÁCICA</t>
  </si>
  <si>
    <t>RESSONÂNCIA MAGNÉTICA DE COTOVELO (UNILATERAL)</t>
  </si>
  <si>
    <t>RESSONÂNCIA  MAGNÉTICA DE CRÂNIO</t>
  </si>
  <si>
    <t>RESSONÂNCIA MAGNÉTICA DE ÓRBITAS</t>
  </si>
  <si>
    <t>RESSONÂNCIA MAGNÉTICA DE OSSOS TEMPORAIS</t>
  </si>
  <si>
    <t>RESSONÂNCIA MAGNÉTICA DE PANTURRILHA (UNILATERAL)</t>
  </si>
  <si>
    <t>RESSONÂNCIA MAGNÉTICA DO PÉ (UNILATERAL)</t>
  </si>
  <si>
    <t>RESSONÂNCIA MAGNÉTICA DE PLAXO BRAQUIAL</t>
  </si>
  <si>
    <t>RESSONÂNCIA MAGNÉTICA DE TÓRAX (PULMÃO, PAREDE TORÁCICA)</t>
  </si>
  <si>
    <t>RESSONÂNCIA MAGNÉTICA DE VIAS BILIARES</t>
  </si>
  <si>
    <t>RESSONÂNCIA MAGNÉTICA DE JOELHO (UNILATERAL)</t>
  </si>
  <si>
    <t>RESSONÂNCIA MAGNÉTICA DE OMBRO (UNILTERAL)</t>
  </si>
  <si>
    <t>RESSONÂNCIA MAGNÉTICA DE OUVIDO</t>
  </si>
  <si>
    <t>RESSONÂNCIA MAGNÉTICA DE PESCOÇO (NASOFARINGE, OROFARINGE, LARINGE, TIREÓIDE, TRAQUEIA, PARATIREÓIDE)</t>
  </si>
  <si>
    <t>RESSONÂNCIA MAGNÉTICA DE PÚBIS</t>
  </si>
  <si>
    <t>RESSONÂNCIA MAGNÉTICA DE PUNHO</t>
  </si>
  <si>
    <t>RESSONÂNCIA MAGNÉTICA DE QUADRIL</t>
  </si>
  <si>
    <t>RESSONÂNCIA MAGNÉTICA DE SACRO</t>
  </si>
  <si>
    <t>RESSONÂNCIA MAGNÉTICA DE MASTÓIDES</t>
  </si>
  <si>
    <t>RESSONÂNCIA MAGNÉTICA DE TORNOZELO (UNILATERAL)</t>
  </si>
  <si>
    <t>RESSONÂNCIA MAGNÉTICA DE NERVO ÓPTICO</t>
  </si>
  <si>
    <t>CONTRASTE PARA TOMOGRAFIA</t>
  </si>
  <si>
    <t>TOMOGRAFIA ANGIO - TC AORTA ABDOMINAL</t>
  </si>
  <si>
    <t>TOMOGRAFIA ANGIO - TC ARTERIAL DE MEMBRO INFERIOR</t>
  </si>
  <si>
    <t>TOMOGRAFIA ANGIO - TC ARTERIAL DE MEMBRO SUPERIOR</t>
  </si>
  <si>
    <t>TOMOGRAFIA ANGIO - TC ARTERIAL PULMONAR</t>
  </si>
  <si>
    <t>TOMOGRAFIA ANGIO - TC DE ABDOME SUPERIOR</t>
  </si>
  <si>
    <t>TOMOGRAFIA ANGIO - TC DE CARÓTIDAS E VERTEBRAIS</t>
  </si>
  <si>
    <t>TOMOGRAFIA ARGIO - TC DE CRÂNIO</t>
  </si>
  <si>
    <t>TOMOGRAFIA ANGIO - TC DE CRÂNIO OU PESCOÇO OU TÓRAX</t>
  </si>
  <si>
    <t>TOMOGRAFIA ANGIO - TC DE MEMBROS INFERIORES</t>
  </si>
  <si>
    <t>TOMOGRAFIA ANGIO - TC DE MEMBRO SUPERIOR</t>
  </si>
  <si>
    <t>TOMOGRAFIA ANGIO - TC DE PELVE</t>
  </si>
  <si>
    <t>TOMOGRAFIA ANGIO - TC DE PESCOÇO</t>
  </si>
  <si>
    <t>TOMOGRAFIA ANGIO - TC DE TÓRAX</t>
  </si>
  <si>
    <t>TOMOGRAFIA ANGIO - TC RENAL</t>
  </si>
  <si>
    <t>TOMOGRAFIA ANGIO - TC TORÁCICA</t>
  </si>
  <si>
    <t>TOMOGRAFIA COMPUTADORIZADA DA ARTICULAÇÃO COXO-FEMURAL (UNILATERAL)</t>
  </si>
  <si>
    <t>TOMOGRAFIA COMPUTADORIZADA DA ARTICULAÇÃO TEMPORO MANDIBULAR</t>
  </si>
  <si>
    <t>TOMOGRAFIA COMPUTADORIZADA DA BACIA/PELVE/QUADRIL</t>
  </si>
  <si>
    <t>TOMOGRAFIA COMPUTADORIZADA DA FARINGE</t>
  </si>
  <si>
    <t>TOMOGRAFIA COMPUTADORIZADA DA HIPÓFISE</t>
  </si>
  <si>
    <t>TOMOGRAFIA COMPUTADORIZADA DA LARINGE</t>
  </si>
  <si>
    <t>TOMOGRAFIA COMPUTADORIZADA DA MÃO</t>
  </si>
  <si>
    <t>TOMOGRAFIA COMPUTADORIZADA DA REGIÃO GLÚTEA</t>
  </si>
  <si>
    <t>TOMOGRAFIA COMPUTADORIZADA DA REGIÃO INGUINAL</t>
  </si>
  <si>
    <t>TOMOGRAFIA COMPUTADORIZADA SACRO-ILIACA</t>
  </si>
  <si>
    <t>TOMOGRAFIA COMPUTADORIZADA DA SELA TÚRCICA</t>
  </si>
  <si>
    <t>TOMOGRAFIA COMPUTADORIZADA DAS ILÍACAS</t>
  </si>
  <si>
    <t>TOMOGRAFIA COMPUTADORIZADA DAS ÓRBITAS</t>
  </si>
  <si>
    <t>TOMOGRAFIA COMPUTADORIZADA DA TIREÓIDE</t>
  </si>
  <si>
    <t>TOMOGRAFIA COMPUTADORIZADA DE ABDOMEM INFERIOR</t>
  </si>
  <si>
    <t>TOMOGRAFIA COMPUTADORIZADA DE ABDOMEM SUPERIOR</t>
  </si>
  <si>
    <t>TOMOGRAFIA COMPUTADORIZADA DE ABDOMEM TOTAL</t>
  </si>
  <si>
    <t>TOMOGRAFIA COMPUTADORIZADA DE APARELHO URINÁRIO</t>
  </si>
  <si>
    <t>TOMOGRAFIA COMPUTADORIZADA DE ARTICULAÇÕES DE MEMBRO INFERIOR</t>
  </si>
  <si>
    <t>TOMOGRAFIA COMPUTADORIZADA DE ARTICULAÇÕES DE MEMBRO SUPERIOR</t>
  </si>
  <si>
    <t>TOMOGRAFIA COMPUTADORIZADA DE COLUNA CERVICAL COM OU SEM CONTRASTE</t>
  </si>
  <si>
    <t>TOMOGRAFIA COMPUTADORIZADA DE COLUNA DORSAL</t>
  </si>
  <si>
    <t>TOMOGRAFIA COMPUTADORIZADA DE COLUNA LOMBO-SACRA COM OU SEM CONTRASTE</t>
  </si>
  <si>
    <t>TOMOGRAFIA COMPUTADORIZADA DE COLUNA TORÁCICA COM OU SEM CONTRASTE</t>
  </si>
  <si>
    <t>TOMOGRAFIA COMPUTADORIZADA DE FACE/SEIOS DA FACE</t>
  </si>
  <si>
    <t>TOMOGRAFIA COMPUTADORIZADA DE SEGMENTOS APENDICULARES</t>
  </si>
  <si>
    <t>TOMOGRAFIA COMPUTADORIZADA DE TÓRAX</t>
  </si>
  <si>
    <t>TOMOGRAFIA COMPUTADORIZADA DO CALCANEO (UNILATERAL)</t>
  </si>
  <si>
    <t>TOMOGRAFIA COMPUTADORIZADA DO CAVUM</t>
  </si>
  <si>
    <t>TOMOGRAFIA COMPUTADORIZADA DO CÓCCIX</t>
  </si>
  <si>
    <t>TOMOGRAFIA COMPUTADORIZADA DO CRÂNIO</t>
  </si>
  <si>
    <t>TOMOGRAFIA COMPUTADORIZADA DO FÊMUR (UNILATERAL)</t>
  </si>
  <si>
    <t>TOMOGRAFIA COMPUTADORIZADA DE PESCOÇO</t>
  </si>
  <si>
    <t>TOMOGRAFIA COMPUTADORIZADA DO ÚMERO (UNILATERAL)</t>
  </si>
  <si>
    <t>RADIOGRAFIA PANORÂMICA</t>
  </si>
  <si>
    <t>Vitamina B1</t>
  </si>
  <si>
    <t>Sim - licitação realizada no dia 30/05/2023</t>
  </si>
  <si>
    <t>Acido fólico</t>
  </si>
  <si>
    <t>Vitamina de 25 hidroxivitamina D</t>
  </si>
  <si>
    <t>Zinco</t>
  </si>
  <si>
    <t>Citrato urinário 24H</t>
  </si>
  <si>
    <t>Cálcio urinário 24H</t>
  </si>
  <si>
    <t>Fósforo urinário 24H</t>
  </si>
  <si>
    <t>Ácido úrico 24H</t>
  </si>
  <si>
    <t>Sódio urinário 24H</t>
  </si>
  <si>
    <t>Cariótipo com banda G</t>
  </si>
  <si>
    <t>X-frágil</t>
  </si>
  <si>
    <t>Serotonina</t>
  </si>
  <si>
    <t>Cortisol</t>
  </si>
  <si>
    <t>Rast Glúten</t>
  </si>
  <si>
    <t>IgG</t>
  </si>
  <si>
    <t>IgA</t>
  </si>
  <si>
    <t>IgM</t>
  </si>
  <si>
    <t>Linfócitos CD19</t>
  </si>
  <si>
    <t>Linfócitos CD3, CD4, CD8</t>
  </si>
  <si>
    <t>Erros inatos do metabolismo</t>
  </si>
  <si>
    <t>BNP</t>
  </si>
  <si>
    <t>Aldolase</t>
  </si>
  <si>
    <t>CCP Anticorpos</t>
  </si>
  <si>
    <t>FAN (fator antinucleo)</t>
  </si>
  <si>
    <t>Paratômonio PHT Intacto</t>
  </si>
  <si>
    <t>Anti-ro/SSA</t>
  </si>
  <si>
    <t>Anti-la/SSB</t>
  </si>
  <si>
    <t>Anti-SM</t>
  </si>
  <si>
    <t>Vitamina C</t>
  </si>
  <si>
    <t>Micológico direto</t>
  </si>
  <si>
    <t>Cultura</t>
  </si>
  <si>
    <t>IgE Específico - Tartrazina Corante Amarelo</t>
  </si>
  <si>
    <t>IgE Específico para extrato de Cochonilha</t>
  </si>
  <si>
    <t>ANTI JO1</t>
  </si>
  <si>
    <t>C-ANCA/P-ANCA</t>
  </si>
  <si>
    <t>IgE Específico Aspergilus</t>
  </si>
  <si>
    <t>Herpes vírus simples I+II IGG</t>
  </si>
  <si>
    <t>Herpes vírus simples I+II IGM</t>
  </si>
  <si>
    <t>Citomegalovírus Urina - PCR</t>
  </si>
  <si>
    <t>Insulina</t>
  </si>
  <si>
    <t>Antimülleriano (AMH)</t>
  </si>
  <si>
    <t>Sorologia para HTLV 1+2</t>
  </si>
  <si>
    <t>Testosterona livre</t>
  </si>
  <si>
    <t>SHBG</t>
  </si>
  <si>
    <t>17- hidroxiprogesterona</t>
  </si>
  <si>
    <t>Pesquisa de microdeleção do cromossomo Y</t>
  </si>
  <si>
    <t>Natural Killer - Células NK - CD56</t>
  </si>
  <si>
    <t>Carmitina Livre</t>
  </si>
  <si>
    <t>Cloro</t>
  </si>
  <si>
    <t>Anticorpo Fator Intrísico</t>
  </si>
  <si>
    <t>D-Dímero</t>
  </si>
  <si>
    <t>Lítio</t>
  </si>
  <si>
    <t>Protombina</t>
  </si>
  <si>
    <t>ANTI-GAD</t>
  </si>
  <si>
    <t>Reação proteína creatina</t>
  </si>
  <si>
    <t>Anti DNA</t>
  </si>
  <si>
    <t>Anti RNP</t>
  </si>
  <si>
    <t>Anti SM</t>
  </si>
  <si>
    <t>Anticoagulante Lúpico - pesquisa (LUP-VV)</t>
  </si>
  <si>
    <t>C3</t>
  </si>
  <si>
    <t>C4</t>
  </si>
  <si>
    <t>CH50</t>
  </si>
  <si>
    <t>ACTH</t>
  </si>
  <si>
    <t>GH</t>
  </si>
  <si>
    <t>IGF1</t>
  </si>
  <si>
    <t>Aldosterona</t>
  </si>
  <si>
    <t>DHEA</t>
  </si>
  <si>
    <t>SDHEA</t>
  </si>
  <si>
    <t>DNA - Anti DNA Nativo Dupla Hélice</t>
  </si>
  <si>
    <t>Beta2 - Glipcoproteína I, IgG e IgM</t>
  </si>
  <si>
    <t>Cardiolipina IgG</t>
  </si>
  <si>
    <t>Cardiolipina IgM</t>
  </si>
  <si>
    <t>Cardiolipina IgA</t>
  </si>
  <si>
    <t>Proteína S Funcional</t>
  </si>
  <si>
    <t>Anti peroxidase</t>
  </si>
  <si>
    <t>Pesquisa de mutação do fator 5 Leiden</t>
  </si>
  <si>
    <t>Antígeno HLA B27, pesquisa por PCR</t>
  </si>
  <si>
    <t>Realização de exames de Radiografia Panorâmica</t>
  </si>
  <si>
    <t>Sim - licitação estimada para 2023</t>
  </si>
  <si>
    <t>Fórmula Infantil Láctea</t>
  </si>
  <si>
    <t>LAT</t>
  </si>
  <si>
    <t>Fórmula alimentar</t>
  </si>
  <si>
    <t>Sim - Ata nº 125/2022</t>
  </si>
  <si>
    <t>INFATRINI PÓ 400G</t>
  </si>
  <si>
    <t>Fórmula Infantil para lactentes de 0 a 6 meses, com DHA, ARA, prebióticos, nucleotídeos, isenta de sacarose, glúten</t>
  </si>
  <si>
    <t>FORMULA INFANTIL para lactentes de 6 a12 meses, com DHA, ARA, prebióticos, nucleotídeos, isenta de sacarose, gluten</t>
  </si>
  <si>
    <t>FORMULA INFANTIL de seguimento para lactentes maiores de 1 ano e crianças de primeira infância com prebióticos, DHA, ARA</t>
  </si>
  <si>
    <t>FORMULA INFANTIL para lactentes e de seguimento para lactentes à basa de soja</t>
  </si>
  <si>
    <t>FORMULA ENTERAL polimérica pra crianças de 3 a 10 anos, normocalórica, normoproteica, isenta de lactose, glúten</t>
  </si>
  <si>
    <t>FORMULA ENTERAL POLIMERICA normocalórica, normoproteica, com fibras, isenta de sacarose, lactose, glúten</t>
  </si>
  <si>
    <t>FORMULA ENTERAL POLIMERICA, normocalórica, normoproteica, isenta de fibras, sacarose, lactose, glúten</t>
  </si>
  <si>
    <t>FORMULA ENTERAL POLIMERICA HIPERCALORICA (1,5 Kcal/mL) - com fibras</t>
  </si>
  <si>
    <t>FORMULA ENTERAL POLIMERICA HIPERCALORICA (1,5 Kcal/mL) - sem fibras</t>
  </si>
  <si>
    <t>COMPLEMENTO ALIMENTAR polimérico normocalórico, normoproteico, isento de sacarose, lactose, glúten</t>
  </si>
  <si>
    <t>Maltodextrina</t>
  </si>
  <si>
    <t>FRALDA GERIÁTRICA DESCARTÁVEL TAMANHO P</t>
  </si>
  <si>
    <t>FRALDA</t>
  </si>
  <si>
    <t>FRALDA GERIÁTRICA DESCARTÁVEL TAMANHO M</t>
  </si>
  <si>
    <t>FRALDA GERIÁTRICA DESCARTÁVEL TAMANHO G</t>
  </si>
  <si>
    <t>FRALDA GERIÁTRICA DESCARTÁVEL TAMANHO XG/EG</t>
  </si>
  <si>
    <t>BOTIJÃO DE GÁS RETORNÁVEL DE 13 KG</t>
  </si>
  <si>
    <t xml:space="preserve">Não - Necessário nova licitação </t>
  </si>
  <si>
    <t>COTA DE BOTIJÃO P13 VAZIO</t>
  </si>
  <si>
    <t>BOTIJÃO DE GÁS RETORNÁVEL P45</t>
  </si>
  <si>
    <t>COTA DE BOTIJÃO P45 VAZIO</t>
  </si>
  <si>
    <t>OXIGÊNIO  MEDICINAL  PARA  USO  DOMICILIAR  DE  PACIENTES,CILINDROS COM CAPACIDADE DE 08M³ 10M³</t>
  </si>
  <si>
    <t>Gases Medicinais</t>
  </si>
  <si>
    <t>Oxigênio Medicinal 1M³ a 4M³</t>
  </si>
  <si>
    <t>Oxigênio Medicinal 5M³ a 10M³</t>
  </si>
  <si>
    <t>Locação de concentrador de oxigênio</t>
  </si>
  <si>
    <t>Sim - Contrato nº 73/2022</t>
  </si>
  <si>
    <t>Recarga de Cilindros de back-UP de 8m³ de oxigênio gasoso medicina</t>
  </si>
  <si>
    <t>ADOÇANTE 100 ML</t>
  </si>
  <si>
    <t>Gênero alimentício - AB e VE</t>
  </si>
  <si>
    <t>Bebida Lactea</t>
  </si>
  <si>
    <t>BISCOITO DOCE TIPO ROSQUINHA SABOR CHOCOLATE - PACOTE 500G</t>
  </si>
  <si>
    <t>BISCOITO DOCE TIPO ROSQUINHA SABOR COCO - PACOTE 500G</t>
  </si>
  <si>
    <t>BISCOITO DOCE, TIPO PORCIONADO - PACOTE 8 A 11,5g</t>
  </si>
  <si>
    <t>Biscoito salgado tipo porcionado, sabor original, pacote com não menos que 156g</t>
  </si>
  <si>
    <t>BOLO PRONTO PARA CONSUMO - SABOR CHOCOLATE - 250 A 300g</t>
  </si>
  <si>
    <t>BOLO PRONTO PARA CONSUMO - SABOR COCO - 250 A 300g</t>
  </si>
  <si>
    <t>BOLO PRONTO PARA CONSUMO - SABOR LARANJA - 250 A 300g</t>
  </si>
  <si>
    <t>BOLO PRONTO PARA CONSUMO - SABOR MESCLADO - 250 A 300g</t>
  </si>
  <si>
    <t>IOGURTE - SABORES VARIADOS</t>
  </si>
  <si>
    <t>MINI CROISSANT - 25G - SABORES VARIADOS</t>
  </si>
  <si>
    <t>PÃO TIPO BISNAGUINHA - EMBALAGEM DE 300 GR</t>
  </si>
  <si>
    <t>PÃO DE QUEIJO ASSADO, PRONTO PARA CONSUMO, TAMANHO PEQUENO,SABOR QUEIJO</t>
  </si>
  <si>
    <t>Pipoca Doce, embalagem com peso aproximado entre 80 a 100 gr</t>
  </si>
  <si>
    <t>PRESUNTO FATIADO</t>
  </si>
  <si>
    <t>QUEIJO MUSSARELA FATIADO</t>
  </si>
  <si>
    <t>REFRIGERANTE SABOR COLA DISPOSTO EM EMBALAGEM LATA DE 350ml</t>
  </si>
  <si>
    <t>REFRIGERANTE SABOR GUARANÁ DISPOSTO EM EMBALAGEM LATA DE 350ml</t>
  </si>
  <si>
    <t>Requeijão cremoso, embalagem com aproximadamente 200gramas</t>
  </si>
  <si>
    <t>SALGADINHOS PARA FESTA DIVERSOS</t>
  </si>
  <si>
    <t>Cento</t>
  </si>
  <si>
    <t>SANDUÍCHE "TIPO PÃO DE FRIOS" 250g</t>
  </si>
  <si>
    <t>SANDUÍCHE, CONTENDO: 1 PÃO FRANCÊS (50G), RECHEADO COM 1 FATIADE PRESUNTO (10G) E 1 FATIA DE QUEIJO MUSSARELA (10G)</t>
  </si>
  <si>
    <t>Suco pronto para consumo, sabor pêssego, disposto em embalagem de 1litro</t>
  </si>
  <si>
    <t>Suco pronto para consumo, sabor uva, disposto em embalagem de 1litro</t>
  </si>
  <si>
    <t>Suco pronto para consumo 200 ml</t>
  </si>
  <si>
    <t>PÃO DE FORMA 500g</t>
  </si>
  <si>
    <t>Bebida Lactea - Sabor Chocolate - 200ml</t>
  </si>
  <si>
    <t>Gênero Alimentício - CAPS</t>
  </si>
  <si>
    <t>Biscoito doce, tipo porcionado, sabores variados, pacote entre 8 e 11,5 gramas</t>
  </si>
  <si>
    <t>Bolo pronto para consumo, sabor chocolate, peso liquido entre 250gramas e 300gramas</t>
  </si>
  <si>
    <t>Bolo pronto para consumo, sabor coco, peso liquido entre 250gramas e 300gramas</t>
  </si>
  <si>
    <t>Bolo pronto para consumo, sabor laranja, peso liquido entre 250gramas e 300gramas</t>
  </si>
  <si>
    <t>Bolo pronto para consumo, sabor mesclado, peso liquido entre 250gramas e 300gramas</t>
  </si>
  <si>
    <t>Iogurte, sabores variados, disposto em embalagem de 150 a 200 ml</t>
  </si>
  <si>
    <t>PIPOCA DOCE EMBALAGEM DE 15g</t>
  </si>
  <si>
    <t>Garrafa de refrigerante de guaraná - 2l</t>
  </si>
  <si>
    <t>REFRIGERANTE PET 2 LITROS SABOR COLA</t>
  </si>
  <si>
    <t>Arroz branco tipo 1 - Embalagem com 5 kg</t>
  </si>
  <si>
    <t>Açúcar refinado - Embalagem de 1kg</t>
  </si>
  <si>
    <t>Leite Condensado 395g</t>
  </si>
  <si>
    <t>Lata</t>
  </si>
  <si>
    <t>CREME DE LEITE 200GR</t>
  </si>
  <si>
    <t>LEITE INTEGRAL – 1 litro</t>
  </si>
  <si>
    <t>Milho para pipoca, Embalagem com 500 gramas</t>
  </si>
  <si>
    <t>SAL REFINADO 1 KG</t>
  </si>
  <si>
    <t>ÓLEO DE SOJA 900 ML</t>
  </si>
  <si>
    <t>PÃO FRANCÊS</t>
  </si>
  <si>
    <t>EXTRATO DE TOMATE 850 GRAMAS</t>
  </si>
  <si>
    <t>SALSICHA - PACOTE DE 5KG</t>
  </si>
  <si>
    <t>Carne bovina de primeira qualidade Moída - tipo patinho ou cochão mole</t>
  </si>
  <si>
    <t>SAQUINHO PARA PIPOCA - Pacote com 500 unidades</t>
  </si>
  <si>
    <t>Colher descartável. Embalagem: 50 unidades</t>
  </si>
  <si>
    <t>Gênero alimentício - Lanche DST</t>
  </si>
  <si>
    <t>Bolacha/biscoito em sache, pacote indivídual de 36g</t>
  </si>
  <si>
    <t>Bolinho doce,vários sabores, apresentação em pacote de 80 a 100g</t>
  </si>
  <si>
    <t>Pó de Café</t>
  </si>
  <si>
    <t>Generos Alimentícios</t>
  </si>
  <si>
    <t>AÇÚCAR REFINADO 1 KG</t>
  </si>
  <si>
    <t>Gêneros Alimenticios</t>
  </si>
  <si>
    <t>FILTRO DE PAPEL 103</t>
  </si>
  <si>
    <t>LARVICIDA BIOLÓGICO GRANULOS</t>
  </si>
  <si>
    <t>Inseticida/Larvicida</t>
  </si>
  <si>
    <t>INSETICIDA NEONICOTINOIDE À BASE DE IMIDACLOPRIDO 21% ASSOCIADO AO PIRETRÓIDE BETA-CIFLUTRINA 10,5%</t>
  </si>
  <si>
    <t>RATICIDA ANTICOAGULANTE DE DOSE ÚNICA</t>
  </si>
  <si>
    <t>RODENTICIDA ANTICOAGULANTE À BASE DE FLOCOUMAFEN</t>
  </si>
  <si>
    <t>INSETICIDA COM ATIVO LAMBDA-CIATROLINA</t>
  </si>
  <si>
    <t>Exames colpocitologico, oncótico e citologia oncótica de líquidos e efusões</t>
  </si>
  <si>
    <t>Laboratório de Patologia Clínica</t>
  </si>
  <si>
    <t>Sim - Contrato nº 21/2021</t>
  </si>
  <si>
    <t>Locação de equipamento de quimiluminescência rotina</t>
  </si>
  <si>
    <t>Meses</t>
  </si>
  <si>
    <t>Sim - Contrato nº 126/2023</t>
  </si>
  <si>
    <t>Fornecimento de Kits reagentes - Alfa Fetoproteinas</t>
  </si>
  <si>
    <t>Teste</t>
  </si>
  <si>
    <t>Fornecimento de Kits reagentes - ANTI HBC IGM</t>
  </si>
  <si>
    <t>Fornecimento de Kits reagentes - ANTI HBC TOTAL</t>
  </si>
  <si>
    <t>Fornecimento de Kits reagentes - ANTI HBS</t>
  </si>
  <si>
    <t>Fornecimento de Kits reagentes - ANTI HCV</t>
  </si>
  <si>
    <t>Fornecimento de Kits reagentes - ANTI HIV 1 e 2</t>
  </si>
  <si>
    <t>Fornecimento de Kits reagentes - ANTI TIREOGLOBULINA</t>
  </si>
  <si>
    <t>Fornecimento de Kits reagentes - ANTI TPO</t>
  </si>
  <si>
    <t>Fornecimento de Kits reagentes - BETA THCG QUANTITATIVO</t>
  </si>
  <si>
    <t>Fornecimento de Kits reagentes - CA 125</t>
  </si>
  <si>
    <t>Fornecimento de Kits reagentes - CA 15-3</t>
  </si>
  <si>
    <t>Fornecimento de Kits reagentes - CA 19-9</t>
  </si>
  <si>
    <t>Fornecimento de Kits reagentes - CEA</t>
  </si>
  <si>
    <t>Fornecimento de Kits reagentes - CITOMEGALOVIR US IGG</t>
  </si>
  <si>
    <t>Fornecimento de Kits reagentes - CITOMEGALOVIR US IGM</t>
  </si>
  <si>
    <t>Fornecimento de Kits reagentes - CORTISOL</t>
  </si>
  <si>
    <t>Fornecimento de Kits reagentes - ESTRADIOL</t>
  </si>
  <si>
    <t>Fornecimento de Kits reagentes - FERRITINA</t>
  </si>
  <si>
    <t>Fornecimento de Kits reagentes - FSH</t>
  </si>
  <si>
    <t>Fornecimento de Kits reagentes - HAV IGM</t>
  </si>
  <si>
    <t>Fornecimento de Kits reagentes - HAV TOTAL</t>
  </si>
  <si>
    <t>Fornecimento de Kits reagentes - HBSAG</t>
  </si>
  <si>
    <t>Fornecimento de Kits reagentes - INSULINA</t>
  </si>
  <si>
    <t>Fornecimento de Kits reagentes - LH</t>
  </si>
  <si>
    <t>Fornecimento de Kits reagentes - PROGESTERONA</t>
  </si>
  <si>
    <t>Fornecimento de Kits reagentes - PROLACTINA</t>
  </si>
  <si>
    <t>Fornecimento de Kits reagentes - PSA LIVRE</t>
  </si>
  <si>
    <t>Fornecimento de Kits reagentes - PSA TOTAL</t>
  </si>
  <si>
    <t>Fornecimento de Kits reagentes - PSA INTACTO</t>
  </si>
  <si>
    <t>Fornecimento de Kits reagentes - RUBEOLA IGG</t>
  </si>
  <si>
    <t>Fornecimento de Kits reagentes - RUBEOLA IGM</t>
  </si>
  <si>
    <t>Fornecimento de Kits reagentes - T3 TOTAL</t>
  </si>
  <si>
    <t>Fornecimento de Kits reagentes - T3 LIVRE</t>
  </si>
  <si>
    <t>Fornecimento de Kits reagentes - T4 LIVRE</t>
  </si>
  <si>
    <t>Fornecimento de Kits reagentes - T4 TOTAL</t>
  </si>
  <si>
    <t>Fornecimento de Kits reagentes - TESTOSTERONA</t>
  </si>
  <si>
    <t>Fornecimento de Kits reagentes - SIFILIS</t>
  </si>
  <si>
    <t>Fornecimento de Kits reagentes - TOXOPLASMOSE IGG</t>
  </si>
  <si>
    <t>Fornecimento de Kits reagentes - TOXOPLASMOSE IGM</t>
  </si>
  <si>
    <t>Fornecimento de Kits reagentes - TSH ULTRASENSIVEL</t>
  </si>
  <si>
    <t>Fornecimento de Kits reagentes - VITAMINA B12 TOTAL</t>
  </si>
  <si>
    <t>Kit Glicose Líquido 1000 ml</t>
  </si>
  <si>
    <t>Kit</t>
  </si>
  <si>
    <t>Sim - Contrato nº 116/2023</t>
  </si>
  <si>
    <t>Kit Colesterol Líquido 400ml</t>
  </si>
  <si>
    <t>Kit HDL Colesterol direto 60 ml</t>
  </si>
  <si>
    <t>Kit LDL Colesterol direto 60 ml</t>
  </si>
  <si>
    <t>Kit Triglicerídes Líquido 200 ml</t>
  </si>
  <si>
    <t>Kit uréia 400 ml</t>
  </si>
  <si>
    <t>Kit Creatinina 200 ml</t>
  </si>
  <si>
    <t>Kit Ac. Úrico 200 ml</t>
  </si>
  <si>
    <t>Kit TGO 160 ml</t>
  </si>
  <si>
    <t>Kit TGP 160 ml</t>
  </si>
  <si>
    <t>Kit Gama GT 60 ml</t>
  </si>
  <si>
    <t>Kit Fosfatase Alcalina 50 ml</t>
  </si>
  <si>
    <t>Kit Bilirrubina Total 200 ml</t>
  </si>
  <si>
    <t>Kit Bilirrubina Direta 200 ml</t>
  </si>
  <si>
    <t>Kit Amilase 30 ml</t>
  </si>
  <si>
    <t>Kitl Lipase 20 ml</t>
  </si>
  <si>
    <t>Kit CPK 60 ml</t>
  </si>
  <si>
    <t>Kit CKMB 50 ml</t>
  </si>
  <si>
    <t>Kit LDH 80 ml</t>
  </si>
  <si>
    <t>Kit Proteínas Totais 720 ml</t>
  </si>
  <si>
    <t>Kit açbumina 720 ml</t>
  </si>
  <si>
    <t>Kit Cálcio 200 ml</t>
  </si>
  <si>
    <t xml:space="preserve"> Kit Fósforo 100 ml</t>
  </si>
  <si>
    <t>Kit Magnésio 100 ml</t>
  </si>
  <si>
    <t>Kit Frutosamina 100 ml</t>
  </si>
  <si>
    <t>Kit Alfa-1 glicoproteínas 60 ml</t>
  </si>
  <si>
    <t>Kit ISE (sódio, potássio e cloro) 50 ml</t>
  </si>
  <si>
    <t>Kit ASLO turbidimétrico 15 ml</t>
  </si>
  <si>
    <t>Kit Fator Reumatóide turbidimetria 15 ml</t>
  </si>
  <si>
    <t>Kit PCR turbidimetrico</t>
  </si>
  <si>
    <t>Kit microalbumina 50 ml</t>
  </si>
  <si>
    <t>Kit colinesterase</t>
  </si>
  <si>
    <t>Kit ferro 100 ml</t>
  </si>
  <si>
    <t>kit proteínas urinárias 100 ml</t>
  </si>
  <si>
    <t>Kit litio 20 ml</t>
  </si>
  <si>
    <t>Kit ferritina turbidimetria</t>
  </si>
  <si>
    <t>LOCAÇÃO DE ANALISADOR DE HEMOGLOBINA</t>
  </si>
  <si>
    <t>Sim - Contrato nº 41/2022</t>
  </si>
  <si>
    <t>LOCAÇÃO DE CONTADOR AUTOMATIZADOR DE CÉLULAS</t>
  </si>
  <si>
    <t>Sim - Contrato nº 40/2022</t>
  </si>
  <si>
    <t>Exame Histocitopatológico (Biopsia de Tecido)</t>
  </si>
  <si>
    <t>Sim - Contrato nº 186/2022</t>
  </si>
  <si>
    <t>CONTROLE DE QUALIDADE EXTERNO NO LABORATÓRIO DE ANÁLISES CLÍNICAS</t>
  </si>
  <si>
    <t>Sim - Necessária licitação em 2023</t>
  </si>
  <si>
    <t xml:space="preserve"> Locação de equipamento de quimiluminescência  novo para realização de exames de alergia com fornecimento de todos os insumos (kits, controles, calibração, cubetas, etc.) necessários para realização dos exames.
Manutenção preventiva e corretiva com materiais originais do equipamento, garantindo o total funcionamento
em 24h. Contato telefônico gratuito, assessoria cientifica e técnica e interfaceamento com Sistema Complab (Mediarte)		Item 	Descrição	Quant	Uni	Valor Unit	Valor Total
	1	Epitélio de gato	300	Teste		
	2	Caspa de Cavalo	300	Teste		
	3	Caspa de Boi	300	Teste		
	4	Caspa de Cão	300	Teste		
	5	Gema de ovo especifico	300	Teste		
	6	Pó caseiro	300	Teste		
	7	D. pteronyssinus (ácaro)	300	Teste		
	8	D. farinae (ácaro)	300	Teste		
	9	Barata	300	Teste		
	10	Clara de ovo	300	Teste		
	11	Leite	300	Teste		
	12	Trigo	300	Teste		
	13	Arroz	300	Teste		
	14	Amendoim	300	Teste		
	15	Soja	300	Teste		
	16	Avelã	300	Teste		
	17	Cast do Pará	300	Teste		
	18	Amêndoa	300	Teste		
	19	Côco	300	Teste		
	20	Bacalhau	300	Teste		
	21	Camarão	300	Teste		
	22	Mexilhão Azul	300	Teste		
	23	Atum	300	Teste		
	24	Salmão	300	Teste		
	25	Aveia	300	Teste		
	26	Milho	300	Teste		
	27	Gergilim	300	Teste		
	28	Trigo Sarraceno	300	Teste		
	29	Epit de Gato	300	Teste		
	30	Epit de Cão	300	Teste		
	31	Aspergillus fumigatus	300	Teste		
</t>
  </si>
  <si>
    <t>LIMPEZA PREDIAL - ÁREAS INTERNAS - PISOS ACARPETADOS</t>
  </si>
  <si>
    <t>LIMPEZA (CONSERVAÇÃO) DE PRÉDIOS E DOMICÍLIOS</t>
  </si>
  <si>
    <t>Sim - Contrato nº 27/2019</t>
  </si>
  <si>
    <t>LIMPEZA PREDIAL - ÁREAS INTERNAS - PISOS FRIOS</t>
  </si>
  <si>
    <t>LIMPEZA PREDIAL - ÁREAS INTERNAS - ALMOXARIFADOS / GALPÕES</t>
  </si>
  <si>
    <t>LIMPEZA PREDIAL - ÁREAS INTERNAS - COM ESPAÇOS LIVRES - SAGUÃO / HALL - SALÃO</t>
  </si>
  <si>
    <t>LIMPEZA PREDIAL - ÁREAS INTERNAS - SANITÁRIOS DE USO PÚBLICO OU COLETIVO DE GRANDE CIRCULAÇÃO</t>
  </si>
  <si>
    <t> LIMPEZA PREDIAL - ÁREAS EXTERNAS - PISOS PAVIMENTADOS ADJACENTES/CONTÍGUOS ÀS EDIFICAÇÕES</t>
  </si>
  <si>
    <t>LIMPEZA PREDIAL - ÁREAS EXTERNAS - VARRIÇÃO DE PASSEIOS E ARRUAMENTOS</t>
  </si>
  <si>
    <t>LIMPEZA PREDIAL - ÁREAS EXTERNAS - PÁTIOS E ÁREAS VERDES - MÉDIA FREQUÊNCIA</t>
  </si>
  <si>
    <t> LIMPEZA PREDIAL - VIDROS EXTERNOS - FREQUÊNCIA TRIMESTRAL (SEM EXPOSIÇÃO À SITUAÇÃO DE RISCO)</t>
  </si>
  <si>
    <t>LIMPEZA PREDIAL - ÁREAS EXTERNAS - PÁTIOS E ÁREAS VERDES - BAIXA FREQUÊNCIA</t>
  </si>
  <si>
    <t> LIMPEZA PREDIAL - ÁREAS EXTERNAS - PÁTIOS E ÁREAS VERDES - BAIXA FREQUÊNCIA</t>
  </si>
  <si>
    <t>LIMPEZA PREDIAL - ÁREAS EXTERNAS - PISOS PAVIMENTADOS ADJACENTES/CONTÍGUOS ÀS</t>
  </si>
  <si>
    <t>LIMPEZA PREDIAL - VIDROS EXTERNOS - FREQUÊNCIA TRIMESTRAL (SEM EXPOSIÇÃO À SITUAÇÃO DE RISCO)</t>
  </si>
  <si>
    <t> LIMPEZA PREDIAL - ÁREAS INTERNAS - SANITÁRIOS DE USO PÚBLICO OU COLETIVO DE GRANDE CIRCULAÇÃO</t>
  </si>
  <si>
    <t> LIMPEZA PREDIAL - ÁREAS INTERNAS - LABORATÓRIOS</t>
  </si>
  <si>
    <t>LOCAÇÃO DE SISTEMA DE RADIOGRAFIA COMPUTADORIZADA (MONOCASSETE) DE MESA</t>
  </si>
  <si>
    <t>Locação de Equipamento</t>
  </si>
  <si>
    <t>INSTALAÇÃO DE AR CONDICIONADO TIPO SPLIT, DE 12000 A 18000 BTUS - ATÉ 3 METROS</t>
  </si>
  <si>
    <t>Manutenção de ar condicionado</t>
  </si>
  <si>
    <t>INSTALAÇÃO DE AR CONDICIONADO TIPO SPLIT,  DE 12000 A 18000 BTUS - DE 3 A 5 METROS</t>
  </si>
  <si>
    <t>INSTALAÇÃO DE AR CONDICIONADO TIPO SPLIT,  DE 12000 A 18000 BTUS - DE 5 A 10 METROS</t>
  </si>
  <si>
    <t>INSTALAÇÃO DE AR CONDICIONADO TIPO SPLIT,  DE 12000 A 18000 BTUS - DE 10 A 20 METROS</t>
  </si>
  <si>
    <t xml:space="preserve">INSTALAÇÃO DE AR CONDICIONADO TIPO SPLIT, DE 18000 A 30000 BTUS - ATÉ  3 METROS </t>
  </si>
  <si>
    <t>INSTALAÇÃO DE AR CONDICIONADO TIPO SPLIT, DE 18000 A 30000 BTUS - DE  3 METROS  A 5 METROS</t>
  </si>
  <si>
    <t>INSTALAÇÃO DE AR CONDICIONADO TIPO SPLIT, DE 18000 A 30000 BTUS - DE 5 A 10 METROS</t>
  </si>
  <si>
    <t>INSTALAÇÃO DE AR CONDICIONADO TIPO SPLIT, DE 18000 A 30000 BTUS - DE 10 A 20 METROS</t>
  </si>
  <si>
    <t>INSTALAÇÃO DE AR CONDICIONADO TIPO SPLIT, ACIMA DE 30000 BTUS - DE  3 METROS  A 5 METROS</t>
  </si>
  <si>
    <t>INSTALAÇÃO DE AR CONDICIONADO TIPO SPLIT, ACIMA DE 30000 BTUS - DE 5 A 10 METROS</t>
  </si>
  <si>
    <t>INSTALAÇÃO DE AR CONDICIONADO TIPO SPLIT, ACIMA DE 30000 BTUS - DE 10 A 20 METROS</t>
  </si>
  <si>
    <t>LIMPEZA COMPLETA - SERVIÇO DE MANUTENÇÃO DE AR CONDICIONADO TIPO SPLIT DE 7000 ATÉ 30000 BTUS</t>
  </si>
  <si>
    <t>LIMPEZA E TROCA DE GÁS DE REFRIGERAÇÃO - SERVIÇO DE MANUTENÇÃO DE AR CONDICIONADO TIPO SPLIT DE 7000 ATÉ 30000 BTUS</t>
  </si>
  <si>
    <t>EMISSÃO DE LAUDOS TÉCNICOS  PROJETOS DE CLIMATIZAÇÃO ORIENTAÇÃO DE COMPRA DE EQUIPAMENTO</t>
  </si>
  <si>
    <t>Manutenção preventiva e corretiva para equipamento BT3000 PLUS</t>
  </si>
  <si>
    <t>Mês</t>
  </si>
  <si>
    <t>Manutenção de equipamento</t>
  </si>
  <si>
    <t xml:space="preserve">Esteira de Fisioterapia Kikos
</t>
  </si>
  <si>
    <t xml:space="preserve">Manutenção de Equipamentos </t>
  </si>
  <si>
    <t>0109/2024</t>
  </si>
  <si>
    <t>Bicleta de Fisioterapia Kikos</t>
  </si>
  <si>
    <t>Eletrosestimulador Tens Quark</t>
  </si>
  <si>
    <t>Eletroestimulador Tens HTM</t>
  </si>
  <si>
    <t>Laser Fisioterápico HTM</t>
  </si>
  <si>
    <t>Ultrassom Fisioterápico Carci</t>
  </si>
  <si>
    <t>Ondas Curtas de Almofada Carci</t>
  </si>
  <si>
    <t xml:space="preserve">Eletrosestimulador Tens e Fens
Quark
</t>
  </si>
  <si>
    <t>Microondas de Fisioterapia HTM</t>
  </si>
  <si>
    <t>Infravermelho Fisioterápico Carci</t>
  </si>
  <si>
    <t>Ultrassom Fisioterápico HTM</t>
  </si>
  <si>
    <t xml:space="preserve">Laser Fisioterápico Carci
</t>
  </si>
  <si>
    <t>Mesa Elétrica Carci</t>
  </si>
  <si>
    <t xml:space="preserve">Turbilhão Galano
</t>
  </si>
  <si>
    <t>Ultrassom Ibramed</t>
  </si>
  <si>
    <t>Eletroestimulador Tens Carc</t>
  </si>
  <si>
    <t>Corrente Russa</t>
  </si>
  <si>
    <t xml:space="preserve">Lâmpada de Fenda
</t>
  </si>
  <si>
    <t>Coluna c/ Cadeira de Oftalmo</t>
  </si>
  <si>
    <t>Projetor Oftalmológico Xenônio</t>
  </si>
  <si>
    <t>Tonômetro</t>
  </si>
  <si>
    <t>Auto Refrator Vista</t>
  </si>
  <si>
    <t>Tonômetro Magna Médica</t>
  </si>
  <si>
    <t>Cadeira Elétrica</t>
  </si>
  <si>
    <t xml:space="preserve">Autoclave de Bancada
</t>
  </si>
  <si>
    <t xml:space="preserve">Seladora
</t>
  </si>
  <si>
    <t>Unidade Eletrocirúrgica</t>
  </si>
  <si>
    <t>Foco Cirúrgico/ Auxiliar</t>
  </si>
  <si>
    <t xml:space="preserve">Coluna c/ Cadeira de Oftalmo
</t>
  </si>
  <si>
    <t>Refrator</t>
  </si>
  <si>
    <t>Refratometro</t>
  </si>
  <si>
    <t>Lensômetro</t>
  </si>
  <si>
    <t xml:space="preserve">Cabine c/ audiometro
</t>
  </si>
  <si>
    <t xml:space="preserve">Campo Livre (Fono)
</t>
  </si>
  <si>
    <t>Imitanciômetro</t>
  </si>
  <si>
    <t xml:space="preserve">Bera Eclipse (Interacoustics)
</t>
  </si>
  <si>
    <t>Otoemissões Acusticas Madsen</t>
  </si>
  <si>
    <t xml:space="preserve">Purificador/ Destilador
</t>
  </si>
  <si>
    <t xml:space="preserve">Detector Fetal
</t>
  </si>
  <si>
    <t>Inalador</t>
  </si>
  <si>
    <t>Desfibrilador Externo Automático</t>
  </si>
  <si>
    <t>Oximetro Portátil</t>
  </si>
  <si>
    <t>Aspirador Cirúrgico Olidef</t>
  </si>
  <si>
    <t xml:space="preserve">Eletrocardiógrafo
</t>
  </si>
  <si>
    <t>MANUTENÇÃO CORRETIVA</t>
  </si>
  <si>
    <t>Ultrassom Fisioterápico CarcI</t>
  </si>
  <si>
    <t>Ondas Curtas de Almofada CarcI</t>
  </si>
  <si>
    <t xml:space="preserve">Ultrassom Fisioterápico HTM
</t>
  </si>
  <si>
    <t xml:space="preserve">Ultrassom Ibramed
</t>
  </si>
  <si>
    <t xml:space="preserve">Eletroestimulador Tens Carci
</t>
  </si>
  <si>
    <t xml:space="preserve">Corrente Russa
</t>
  </si>
  <si>
    <t>Autoclave de Bancada</t>
  </si>
  <si>
    <t xml:space="preserve">Unidade Eletrocirúrgica
</t>
  </si>
  <si>
    <t xml:space="preserve">SERVIÇO DE REPOSIÇÃO DE PEÇAS DE EQUIPAMENTOS MÉDICOS E DE FISIOTERAPIA COM O VALOR DAS PEÇAS INCLUIDAS.
ESTERIA DE FISIOTERAPIA KIKOS
ITENS DE PEÇA DE REPOSIÇÃO:
LONA E SILICONE
</t>
  </si>
  <si>
    <t xml:space="preserve">SERVIÇO DE REPOSIÇÃO DE PEÇAS DE EQUIPAMENTOS MÉDICOS E DE FISIOTERAPIA COM O VALOR DAS PEÇAS INCLUIDAS.
BICICLETA DE FISIOTERAPIA KIKOS
ITENS DE PEÇA DE REPOSIÇÃO:
PILHAS E BATERIAS
</t>
  </si>
  <si>
    <t xml:space="preserve">SERVIÇO DE REPOSIÇÃO DE PEÇAS DE EQUIPAMENTOS MÉDICOS E DE FISIOTERAPIA COM O VALOR DAS PEÇAS INCLUIDAS.
Eletrosestimulador Tens Quark
ITENS DE PEÇA DE REPOSIÇÃO:
CABO DE APLICAÇÃO
</t>
  </si>
  <si>
    <t>SERVIÇO DE REPOSIÇÃO DE PEÇAS DE EQUIPAMENTOS MÉDICOS E DE FISIOTERAPIA COM O VALOR DAS PEÇAS INCLUIDAS.
Eletroestimulador Tens HTM
ITENS DE PEÇA DE REPOSIÇÃO:
CABO DE APLICAÇÃO</t>
  </si>
  <si>
    <t>SERVIÇO DE REPOSIÇÃO DE PEÇAS DE EQUIPAMENTOS MÉDICOS E DE FISIOTERAPIA COM O VALOR DAS PEÇAS INCLUIDAS.
Ondas Curtas de Almofada CarcI
ITENS DE PEÇA DE REPOSIÇÃO:
ELETRODO</t>
  </si>
  <si>
    <t>SERVIÇO DE REPOSIÇÃO DE PEÇAS DE EQUIPAMENTOS MÉDICOS E DE FISIOTERAPIA COM O VALOR DAS PEÇAS INCLUIDAS.
Eletrosestimulador Tens e Fens
Quark
ITENS DE PEÇA DE REPOSIÇÃO:
CABO DE APLICAÇÃO</t>
  </si>
  <si>
    <t>SERVIÇO DE REPOSIÇÃO DE PEÇAS DE EQUIPAMENTOS MÉDICOS E DE FISIOTERAPIA COM O VALOR DAS PEÇAS INCLUIDAS.
Infravermelho Fisioterápico CarcI
ITENS DE PEÇA DE REPOSIÇÃO:
LAMPADA DE INFRAVERMELHO</t>
  </si>
  <si>
    <t>SERVIÇO DE REPOSIÇÃO DE PEÇAS DE EQUIPAMENTOS MÉDICOS E DE FISIOTERAPIA COM O VALOR DAS PEÇAS INCLUIDAS.
Eletroestimulador Tens CarcI
ITENS DE PEÇA DE REPOSIÇÃO:
CABO DE APLICAÇÃO</t>
  </si>
  <si>
    <t>SERVIÇO DE REPOSIÇÃO DE PEÇAS DE EQUIPAMENTOS MÉDICOS E DE FISIOTERAPIA COM O VALOR DAS PEÇAS INCLUIDAS.
Corrente Russa
ITENS DE PEÇA DE REPOSIÇÃO:
CABO DE APLICAÇÃO</t>
  </si>
  <si>
    <t>SERVIÇO DE REPOSIÇÃO DE PEÇAS DE EQUIPAMENTOS MÉDICOS E DE FISIOTERAPIA COM O VALOR DAS PEÇAS INCLUIDAS.
Lâmpada de Fenda
ITENS DE PEÇA DE REPOSIÇÃO:
LÂMPADA</t>
  </si>
  <si>
    <t>SERVIÇO DE REPOSIÇÃO DE PEÇAS DE EQUIPAMENTOS MÉDICOS E DE FISIOTERAPIA COM O VALOR DAS PEÇAS INCLUIDAS.
Coluna c/ Cadeira de Oftalmo
ITENS DE PEÇA DE REPOSIÇÃO:
LÂMPADA</t>
  </si>
  <si>
    <t>SERVIÇO DE REPOSIÇÃO DE PEÇAS DE EQUIPAMENTOS MÉDICOS E DE FISIOTERAPIA COM O VALOR DAS PEÇAS INCLUIDAS.
Autoclave de Bancada
ITENS DE PEÇA DE REPOSIÇÃO:
GUARNIÇÃO E SILICONE</t>
  </si>
  <si>
    <t>SERVIÇO DE REPOSIÇÃO DE PEÇAS DE EQUIPAMENTOS MÉDICOS E DE FISIOTERAPIA COM O VALOR DAS PEÇAS INCLUIDAS.
Seladora
ITENS DE PEÇA DE REPOSIÇÃO:
RESISTÊNCIA</t>
  </si>
  <si>
    <t>SERVIÇO DE REPOSIÇÃO DE PEÇAS DE EQUIPAMENTOS MÉDICOS E DE FISIOTERAPIA COM O VALOR DAS PEÇAS INCLUIDAS.
Unidade Eletrocirúrgica
ITENS DE PEÇA DE REPOSIÇÃO:
PLACA DE CAUTÉRIO E CABO</t>
  </si>
  <si>
    <t>SERVIÇO DE REPOSIÇÃO DE PEÇAS DE EQUIPAMENTOS MÉDICOS E DE FISIOTERAPIA COM O VALOR DAS PEÇAS INCLUIDAS.
Foco Cirúrgico/ Auxiliar
ITENS DE PEÇA DE REPOSIÇÃO:
LÂMPADA</t>
  </si>
  <si>
    <t>SERVIÇO DE REPOSIÇÃO DE PEÇAS DE EQUIPAMENTOS MÉDICOS E DE FISIOTERAPIA COM O VALOR DAS PEÇAS INCLUIDAS.
Eletroencefalograma
ITENS DE PEÇA DE REPOSIÇÃO:
CABO PARA EEG</t>
  </si>
  <si>
    <t>SERVIÇO DE REPOSIÇÃO DE PEÇAS DE EQUIPAMENTOS MÉDICOS E DE FISIOTERAPIA COM O VALOR DAS PEÇAS INCLUIDAS.
Aspirador Cirúrgico Olidef
ITENS DE PEÇA DE REPOSIÇÃO:
MANGUEIRA DE SILICONE</t>
  </si>
  <si>
    <t>SERVIÇO DE REPOSIÇÃO DE PEÇAS DE EQUIPAMENTOS MÉDICOS E DE FISIOTERAPIA COM O VALOR DAS PEÇAS INCLUIDAS.
Eletrocardiógrafo
ITENS DE PEÇA DE REPOSIÇÃO:
CABO PARA ECG (2X CABO)</t>
  </si>
  <si>
    <t>Manutenção preventiva e corretiva de Raio X marca Intecal Modelo CR 125-5020MA AF para UBS Vila Nunes</t>
  </si>
  <si>
    <t>Manutenção Raio-X</t>
  </si>
  <si>
    <t>Sim - Contrato nº 163/2023</t>
  </si>
  <si>
    <t>Aciclovir</t>
  </si>
  <si>
    <t>Gramas</t>
  </si>
  <si>
    <t>Matéria Prima para medicamento</t>
  </si>
  <si>
    <t>ÁLCOOL DE CEREAIS 96°GL</t>
  </si>
  <si>
    <t>ml</t>
  </si>
  <si>
    <t>Ambroxol Cloridrato</t>
  </si>
  <si>
    <t>Amido de Milho - Excipiente Farmacêutico - Embalagem de 500g ou 1Kg</t>
  </si>
  <si>
    <t>AMP ULTRA PC 2000</t>
  </si>
  <si>
    <t>Arnica Extrato Glicólico</t>
  </si>
  <si>
    <t>Babosa Extrato Glicólico</t>
  </si>
  <si>
    <t>Calêndula Extrato Glicólico</t>
  </si>
  <si>
    <t>Camomila Extrato Glicólico</t>
  </si>
  <si>
    <t>Cânfora Sintética</t>
  </si>
  <si>
    <t>Carbonato de Cálcio Pesado</t>
  </si>
  <si>
    <t>Carvedilol</t>
  </si>
  <si>
    <t>Celulose Microcristalina</t>
  </si>
  <si>
    <t>Cera auto emulsionante aniônica (qualidade igual ou superior a Lanete N ou Unibase N)</t>
  </si>
  <si>
    <t>Cera Não Ionica</t>
  </si>
  <si>
    <t>Cetoconazol</t>
  </si>
  <si>
    <t>Condroitina Sulfato Sódico</t>
  </si>
  <si>
    <t>CORANTE ALIMENTÍCIO VERMELHO MORANGO LÍQUIDO</t>
  </si>
  <si>
    <t>Deflazacort</t>
  </si>
  <si>
    <t>Diclofenaco de Potássio</t>
  </si>
  <si>
    <t>Dióxido de Titânio</t>
  </si>
  <si>
    <t>EDTA</t>
  </si>
  <si>
    <t>Espironolactona Micronizada</t>
  </si>
  <si>
    <t>ESSÊNCIA ALIMENTÍCIA DE MORANGO LÍQUIDA</t>
  </si>
  <si>
    <t>Ferro Quelado</t>
  </si>
  <si>
    <t>Filtro Solar UVA+B Hidrossolúvel</t>
  </si>
  <si>
    <t>Gelatina em Pó</t>
  </si>
  <si>
    <t>Ginkgo Biloba Extrato Seco</t>
  </si>
  <si>
    <t>Glicerina Branca Bidestilada</t>
  </si>
  <si>
    <t>GLOBULOS INERTES HOMEOPÁTICOS Nº 5 (SACAROSE)</t>
  </si>
  <si>
    <t>Glucosamina Sulfato 2 KCL</t>
  </si>
  <si>
    <t>GROSELHA XAROPE</t>
  </si>
  <si>
    <t>Hidrocortisona</t>
  </si>
  <si>
    <t>Hiperico Extrato Seco</t>
  </si>
  <si>
    <t>Isoflavona de Soja</t>
  </si>
  <si>
    <t>Lactato de Amônio</t>
  </si>
  <si>
    <t>Lactose M200</t>
  </si>
  <si>
    <t>Mentol Cristalizado</t>
  </si>
  <si>
    <t>Nipagin</t>
  </si>
  <si>
    <t>Nipazol</t>
  </si>
  <si>
    <t>Óleo de Amêndoas Doce</t>
  </si>
  <si>
    <t>Óleo de Germem de Trigo</t>
  </si>
  <si>
    <t>Óleo de Girassol</t>
  </si>
  <si>
    <t>Óleo de Rosa Mosqueta</t>
  </si>
  <si>
    <t>Óxido de Zinco</t>
  </si>
  <si>
    <t>Papaína</t>
  </si>
  <si>
    <t>Piroxican</t>
  </si>
  <si>
    <t>Polímero acrílico utilizado como espessante (qualidade igual ou superior a Carbopol 940)</t>
  </si>
  <si>
    <t>Propilenoglicol</t>
  </si>
  <si>
    <t>Repelente para Insetos (qualidade igual ou superior ao MERCK IR 3535®)</t>
  </si>
  <si>
    <t>SACARINA ADOÇANTE LÍQUIDO 100ML</t>
  </si>
  <si>
    <t>Salicilato de Metila</t>
  </si>
  <si>
    <t>Sílica Pirogênica Hidrofílica (qualidade igual ou superior a AEROSIL® 200)</t>
  </si>
  <si>
    <t>Sorbitol</t>
  </si>
  <si>
    <t>TINTURA DE CALENDULA</t>
  </si>
  <si>
    <t>TINTURA DE CAMOMILA MATRICARIA</t>
  </si>
  <si>
    <t>TINTURA DE ECHINACEA</t>
  </si>
  <si>
    <t>TINTURA DE PASSIFLORA</t>
  </si>
  <si>
    <t>TINTURA DE VALERIANA OFF.</t>
  </si>
  <si>
    <t>Triglicérides de Ácido Cáprico/Caprílico</t>
  </si>
  <si>
    <t>Uréia</t>
  </si>
  <si>
    <t>Valeriana Extrato Seco</t>
  </si>
  <si>
    <t>Vaselina Líquida</t>
  </si>
  <si>
    <t>ÁGUA OXIGENADA 10 VOL. FRASCO 1 LITRO - ANTISSÉPTICO, PERÓXIDODE HIDROGÊNIO 3% - VEÍCULO QSP 100%</t>
  </si>
  <si>
    <t>Material de consumo veterinário</t>
  </si>
  <si>
    <t>AGULHA HIPODERMICA DESCARTÁVEL 25 X 8 MM</t>
  </si>
  <si>
    <t>AGULHA HIPODÉRMICA DESCARTAVEL 25 X 7</t>
  </si>
  <si>
    <t>ALCOOL 70% - 1L</t>
  </si>
  <si>
    <t>CATETER INTRAVENOSO JELCO 24G</t>
  </si>
  <si>
    <t>CATETER INTRAVENOSO JELCO 22G</t>
  </si>
  <si>
    <t>CITRATO DE FENTANILA 0,05 MG/ML FRASCO-AMPOLA COM 10ML INJETÁVEL</t>
  </si>
  <si>
    <t>COLETOR DE MATERIAL PERFUROCORTANTE 13 LITROS</t>
  </si>
  <si>
    <t>CLORIDRATO DE DOXAPRAM 2% - FRASCO COM 20ML - USO VETERINÁRIO</t>
  </si>
  <si>
    <t>CLORIDRATO DE KETAMINA 10% - FRASCO COM 50ML - USO VETERINPARIO</t>
  </si>
  <si>
    <t>CLORIDRATO DE LIDOCAINA 2% FRASCO COM 20 ML - SEM VASOCONSTRUTOR - INJETAVEL</t>
  </si>
  <si>
    <t>CLORIDRATO DE XILAZINA 2% FRASCO COM 10ML - USO VETERINÁRIO</t>
  </si>
  <si>
    <t>COMPRESSA GAZE HIDRÓFILA, NÃO ESTÉRIL, 100% ALGODÃO – 5 DOBRAS, 8 CAMADAS, PICOTADA, 7,5x7,5 , 13 FIOS – (PACOTE COM 500 UNIDADES)</t>
  </si>
  <si>
    <t>COMPRESSA DE GAZE ESTÉRIL 13 FIOS 7,5 CM X 7,5 CM PACOTE COM 10 UNIDADES</t>
  </si>
  <si>
    <t>Dexametasona 2mg/ml injetável</t>
  </si>
  <si>
    <t>DIGLUCONATO DE CLOREXIDINE 1% - SOLUÇÃO AQUOSA - FRASCO DE 1 LITRO</t>
  </si>
  <si>
    <t>ESPARADRAPO IMPERMEÁVEL 10 CM X 4,5 M</t>
  </si>
  <si>
    <t>FITA CREPE 19 X 50</t>
  </si>
  <si>
    <t>FIO DE SUTURA NYLON MONOFILAMENTO PRETO 2-0, NÃO ABSORVIVEL, 1,5 METROS - SEM AGULHA</t>
  </si>
  <si>
    <t>FIO DE SUTURA NYLON MONOFILAMENTO PRETO 3-0, NÃO ABSORVIVEL, 1,5 METROS - SEM AGULHA</t>
  </si>
  <si>
    <t>FIO DE SUTURA NYLON MONOFILAMENTO PRETO 0, NÃO ABSORVIVEL, 1,5 METROS - SEM AGULHA</t>
  </si>
  <si>
    <t>IODOPOLIVIDONA TOPICO 10% PVPI - FRASCO DE 1 LITRO</t>
  </si>
  <si>
    <t>ISOFLURANO FR 100 ML</t>
  </si>
  <si>
    <t>Lâmina para bisturi nº. 15 C. Cx. c/100 unidades</t>
  </si>
  <si>
    <t>LUVA CIRÚRGICA DE LÁTEX ESTÉRIL TAMANHO 7,5</t>
  </si>
  <si>
    <t>LUVA DE LATEX PARA PROCEDIMENTO NÃO ESTERIL – TAMANHO M – CAIXA COM 100 UNIDADES CADA</t>
  </si>
  <si>
    <t>MICROCHIP ANTIMIGRATÓRIO AGULHADO PARA IDENTIFICAÇÃO ANIMAL</t>
  </si>
  <si>
    <t>PAPEL GRAU CIRURGICO - ISENTO DE FUROS, SEM CORANTES, REPELENTE A LIQUIDOS, RESISTENTE A RASGOS E INODORO - ROLO 20CMX10</t>
  </si>
  <si>
    <t>PENTABIOTICO VETERINÁRIO 50 ML (FORMULAÇÃO; BENZILPENICILINA PROCAINA 15.000.000 UI/ BENZILPENICILINA BENZATINA)</t>
  </si>
  <si>
    <t>PROPOFOL -10MG/ML - 20ML</t>
  </si>
  <si>
    <t>SERINGA DESCARTÁVEL DE 3ML, BICO CENTRAL, LUER LOCK SEM AGULHA</t>
  </si>
  <si>
    <t>SERINGA DESCARTÁVE DE 10ML, BICO CENTRAL, LUER LOCK SEM AGULHA</t>
  </si>
  <si>
    <t>SERINGA DESCARTÁVE DE 20ML, BICO CENTRAL, LUER LOCK SEM AGULHA</t>
  </si>
  <si>
    <t>SULFATO DE ATROPINA 1% - FRASCO COM 20ML - INJETÁVEL - USO VETERINÁRIO</t>
  </si>
  <si>
    <t>PORTA AGULHA MAYO HEGAR 14 CM</t>
  </si>
  <si>
    <t>Pinça Guyon, 16cm</t>
  </si>
  <si>
    <t>PINCA ADSON 12 COM DENTE DE RATO</t>
  </si>
  <si>
    <t>Tesoura metzenbaum curva 15cm</t>
  </si>
  <si>
    <t>Tesoura Mayo Stille, 15cm, curva, ponta fina</t>
  </si>
  <si>
    <t>LIVRO ATA</t>
  </si>
  <si>
    <t>Material de Escritório</t>
  </si>
  <si>
    <t>LIVRO PROTOCOLO DE CORRESPONDENCIA</t>
  </si>
  <si>
    <t>CADERNO CAPA DURA PEQUENO -  (PAUTADO COM MARGEM)</t>
  </si>
  <si>
    <t>CADERNO CAPA DURA GRANDE - (PAUTADO COM MARGEM)</t>
  </si>
  <si>
    <t>APONTADOR PARA LAPIS</t>
  </si>
  <si>
    <t>Cola branca PVAC, lavável, atóxica, secagem rápida, com bico econômico – 1kg</t>
  </si>
  <si>
    <t>COLA BRANCA 90GR</t>
  </si>
  <si>
    <t>COLA EM BASTÃO LAVÁVEL, EMBALAGEM COM FUNDO GIRATÓRIO E VISOR DE IDENTIFICAÇÃO DE NÍVEL CONTENDO 40GR</t>
  </si>
  <si>
    <t>PERFURADOR DE PAPEL COM 2 FUROS PARA 20 FOLHAS</t>
  </si>
  <si>
    <t>Pistola de cola quente grossa</t>
  </si>
  <si>
    <t>REFIL COLA QUENTE</t>
  </si>
  <si>
    <t>REGUA PLASTICA 30CM</t>
  </si>
  <si>
    <t>TESOURA ESCOLAR COM PONTA ARREDONDADA</t>
  </si>
  <si>
    <t>Tinta aquarela c/12 cores</t>
  </si>
  <si>
    <t>TINTA PARA CARIMBO AZUL</t>
  </si>
  <si>
    <t>TINTA PARA CARIMBO PRETA</t>
  </si>
  <si>
    <t>TINTA PARA CARIMBO VERMELHA</t>
  </si>
  <si>
    <t>TNT - cores - 1,40x50 metros</t>
  </si>
  <si>
    <t>UNidade</t>
  </si>
  <si>
    <t>GRAMPEADOR PEQUENO COM BASE 13CM</t>
  </si>
  <si>
    <t>Tinta guache 500 ml</t>
  </si>
  <si>
    <t>Tinta guache (12 cores) 15ml</t>
  </si>
  <si>
    <t>PINCEL CHATO Nº 2, CERDAS NATURAIS, CABO LONGO</t>
  </si>
  <si>
    <t>PINCEL CHATO Nº 4, CERDAS NATURAIS, CABO LONGO</t>
  </si>
  <si>
    <t>PINCEL CHATO Nº 6, CERDAS NATURAIS, CABO LONGO</t>
  </si>
  <si>
    <t>PINCEL CHATO Nº 8, CERDAS NATURAIS, CABO LONGO</t>
  </si>
  <si>
    <t>PINCEL CHATO Nº 10, CERDAS NATURAIS, CABO LONGO</t>
  </si>
  <si>
    <t>PINCEL CHATO Nº 12, CERDAS NATURAIS, CABO LONGO</t>
  </si>
  <si>
    <t>PINCEL CHATO Nº 14, CERDAS NATURAIS, CABO LONGO</t>
  </si>
  <si>
    <t>PINCEL CHATO Nº 16, CERDAS NATURAIS, CABO LONGO</t>
  </si>
  <si>
    <t>Massa de modelar à base de amido</t>
  </si>
  <si>
    <t>BLOCO ADESIVO AMARELO</t>
  </si>
  <si>
    <t>BLOCO ADESIVO NEON SORTIDO</t>
  </si>
  <si>
    <t>CALCULADORA GRANDE MESA</t>
  </si>
  <si>
    <t>ENVELOPE SACO PLASTICO - 4 FUROS A4</t>
  </si>
  <si>
    <t>ENVELOPE BRANCO - 25 X 35 -  CX COM 250 UNIDADES</t>
  </si>
  <si>
    <t>ENVELOPE PARDO 162X229MM</t>
  </si>
  <si>
    <t>ENVELOPE PARDO 240X340MM</t>
  </si>
  <si>
    <t>Etiqueta Branca adesiva, tamanho A4250, caixa com 250 etiquetas.</t>
  </si>
  <si>
    <t>Etiqueta Branca adesiva, tamanho A4256, caixa com 825 etiquetas.</t>
  </si>
  <si>
    <t>ETIQUETA INK-JET/LASER CARTA 215,9 X 279,4 6285 - CAIXA COM 25 UNIDADES</t>
  </si>
  <si>
    <t>BOBINA IMPRESSÃO TÉRMICA 57 X 22 METROS</t>
  </si>
  <si>
    <t>QUADRO BRANCO COM MOLDURA DE ALUMINIO</t>
  </si>
  <si>
    <t>Alfinete de segurança nº00</t>
  </si>
  <si>
    <t>Alfinete para mapas nº 05, cor amarelo, embalagem com 50 unidades.</t>
  </si>
  <si>
    <t>Alfinete para mapas nº 05, cor azul claro, embalagem com 50 unidades.</t>
  </si>
  <si>
    <t>Alfinete para mapas nº 05, cor azul escuro, embalagem com 50 unidades.</t>
  </si>
  <si>
    <t>Alfinete para mapas nº 05, cor branco, embalagem com 50 unidades.</t>
  </si>
  <si>
    <t>Alfinete para mapas nº 05, cor cinza, embalagem com 50 unidades.</t>
  </si>
  <si>
    <t>Alfinete para mapas nº 05, cor laranja, embalagem com 50 unidades.</t>
  </si>
  <si>
    <t>Alfinete para mapas nº 05, cor marrom, embalagem com 50 unidades.</t>
  </si>
  <si>
    <t>Alfinete para mapas nº 05, cor preto, embalagem com 50 unidades.</t>
  </si>
  <si>
    <t>Alfinete para mapas nº 05, cor rosa, embalagem com 50 unidades.</t>
  </si>
  <si>
    <t>Alfinete para mapas nº 05, cor verde, embalagem com 50 unidades.</t>
  </si>
  <si>
    <t>Alfinete para mapas nº 05, cor vermelho, embalagem com 50 unidades.</t>
  </si>
  <si>
    <t>ALMOFADA PARA CARIMBO Nº 02 preta</t>
  </si>
  <si>
    <t>ALMOFADA PARA CARIMBO Nº 02 vermelha</t>
  </si>
  <si>
    <t>ALMOFADA PARA CARIMBO Nº 02 azul</t>
  </si>
  <si>
    <t>ALMOFADA PARA CARIMBO Nº 03 preta</t>
  </si>
  <si>
    <t>ALMOFADA PARA CARIMBO Nº 03 vermelha</t>
  </si>
  <si>
    <t>ALMOFADA PARA CARIMBO Nº 03 azul</t>
  </si>
  <si>
    <t>BATERIA 9 VOLTS</t>
  </si>
  <si>
    <t>CD-RW</t>
  </si>
  <si>
    <t>CLIPS 2/0 CX C/100</t>
  </si>
  <si>
    <t>CLIPS 3/0 500 GR</t>
  </si>
  <si>
    <t>CLIPS 6/0 CX C/50</t>
  </si>
  <si>
    <t>CLIPS GALVANIZADOS 8/0</t>
  </si>
  <si>
    <t>DVD-RW</t>
  </si>
  <si>
    <t>ELASTICO LATEX 100 GR</t>
  </si>
  <si>
    <t>EXTRATOR DE GRAMPO (ESPÁTULA)</t>
  </si>
  <si>
    <t>FICHA PAUTADA</t>
  </si>
  <si>
    <t>Fichário padronizado fumê</t>
  </si>
  <si>
    <t>GRAMPEADOR GRANDE COM BASE DE 28CM</t>
  </si>
  <si>
    <t>GRAMPEADOR MEDIO COM BASE DE 20CM</t>
  </si>
  <si>
    <t>GRAMPO P/GRAMPEADOR 23/10</t>
  </si>
  <si>
    <t>GRAMPO P/GRAMPEADOR 23/13</t>
  </si>
  <si>
    <t>GRAMPO P/GRAMPEADOR 26/6</t>
  </si>
  <si>
    <t>GRAMPO TRILHO</t>
  </si>
  <si>
    <t>PILHA ALCALINA AA</t>
  </si>
  <si>
    <t>PILHA ALCALINA C - MEDIA</t>
  </si>
  <si>
    <t>PILHA ALCALINA AAA</t>
  </si>
  <si>
    <t>PILHA ELETRONICA CR 2032</t>
  </si>
  <si>
    <t>PRANCHETA EM EUCATEX 320mmx220mm</t>
  </si>
  <si>
    <t>PRANCHETA EM EUCATEX 235mmx160mm</t>
  </si>
  <si>
    <t>QUADRO DE CORTICA COM MOLDURA DE ALUMINIO</t>
  </si>
  <si>
    <t>ORGANIZADOR PORTA CANETA METAL TELADO (ESCRITORIO)</t>
  </si>
  <si>
    <t>MOUSE PAD ERGONOMICO</t>
  </si>
  <si>
    <t>PILHA ALCALINA A23</t>
  </si>
  <si>
    <t>BOBINA DE PAPEL PARDO DE 1 METRO DE LARGURA X 200 METROS</t>
  </si>
  <si>
    <t>PAPEL VERGE 120 GR C/50 FOLHAS</t>
  </si>
  <si>
    <t>Cartolina nas cores: amarela, rosa, vermelho, azul, verde, laranja, branco e preto</t>
  </si>
  <si>
    <t>Papel cartão 48x66 com 240grs</t>
  </si>
  <si>
    <t>PAPEL CREPON 0,48CM X 2M preta</t>
  </si>
  <si>
    <t>PAPEL CREPON 0,48CM X 2M branca</t>
  </si>
  <si>
    <t>PAPEL CREPON 0,48CM X 2M marrom</t>
  </si>
  <si>
    <t>PAPEL CREPON 0,48CM X 2M verde claro</t>
  </si>
  <si>
    <t>PAPEL CREPON 0,48CM X 2M azul escuro</t>
  </si>
  <si>
    <t>PAPEL CREPON 0,48CM X 2M azul claro</t>
  </si>
  <si>
    <t>PAPEL CREPON 0,48CM X 2M roxo</t>
  </si>
  <si>
    <t>PAPEL CREPON 0,48CM X 2M lilas</t>
  </si>
  <si>
    <t>PAPEL CREPON 0,48CM X 2M laranja</t>
  </si>
  <si>
    <t>PAPEL CREPON 0,48CM X 2M amarelo</t>
  </si>
  <si>
    <t>PAPEL CREPON 0,48CM X 2M rosa claro</t>
  </si>
  <si>
    <t>PAPEL CREPON 0,48CM X 2M pink</t>
  </si>
  <si>
    <t>FOLHA EM EVA 600X400X2MM azul</t>
  </si>
  <si>
    <t>FOLHA EM EVA 600X400X2MM lilas</t>
  </si>
  <si>
    <t>FOLHA EM EVA 600X400X2MM laranja</t>
  </si>
  <si>
    <t>FOLHA EM EVA 600X400X2MM verde</t>
  </si>
  <si>
    <t>FOLHA EM EVA 600X400X2MM amarelo</t>
  </si>
  <si>
    <t>FOLHA EM EVA 600X400X2MM vermelho</t>
  </si>
  <si>
    <t>FOLHA EM EVA 600X400X2MM marrom</t>
  </si>
  <si>
    <t>FOLHA EM EVA 600X400X2MM rosa</t>
  </si>
  <si>
    <t>FOLHA EM EVA 600X400X2MM branca</t>
  </si>
  <si>
    <t>FOLHA EM EVA 600X400X2MM preta</t>
  </si>
  <si>
    <t>PAPEL SULFITE A4 - RESMA 500 FLS</t>
  </si>
  <si>
    <t>CAIXA DE ARQUIVO MORTO</t>
  </si>
  <si>
    <t>PASTA OFICIO - ABA PLASTICA C/ ELASTICO 18MM</t>
  </si>
  <si>
    <t>PASTA OFICIO - ABA PLASTICA C/ ELASTICO 30MM</t>
  </si>
  <si>
    <t>PASTA OFICIO - ABA PLASTICA C/ ELASTICO 55MM</t>
  </si>
  <si>
    <t>PASTA CATALOGO C/ 50 PLASTICOS A4  4 FUROS</t>
  </si>
  <si>
    <t>PASTA EM L</t>
  </si>
  <si>
    <t>PASTA EM PAPEL CARTAO COM ABA INTERNA</t>
  </si>
  <si>
    <t>PASTA GRAMPO PLASTICO TRANSPARENTE C/ 2 PRENDEDORES INTERNOS</t>
  </si>
  <si>
    <t>PASTA POLIONDA COM ABA - LOMBO 20MM</t>
  </si>
  <si>
    <t>PASTA POLIONDA COM ABA - LOMBO 55MM</t>
  </si>
  <si>
    <t>PASTA REGISTRADORA AZ - LOMBO LARGO</t>
  </si>
  <si>
    <t>PASTA REGISTRADORA AZ - LOMBO MEDIO</t>
  </si>
  <si>
    <t>PASTA SUSPENSA - KRAFT</t>
  </si>
  <si>
    <t>PASTA SANFONADA A4</t>
  </si>
  <si>
    <t>BORRACHA BRANCA ESCOLAR - LATEX</t>
  </si>
  <si>
    <t>CANETA ESFEROGRAFICA azul</t>
  </si>
  <si>
    <t>CANETA ESFEROGRAFICA preta</t>
  </si>
  <si>
    <t>CANETA ESFEROGRAFICA vermelha</t>
  </si>
  <si>
    <t>Canetinha hidrográfica, estojo com 12 cores</t>
  </si>
  <si>
    <t>estojo</t>
  </si>
  <si>
    <t>CANETA MARCA TEXTO AMARELA</t>
  </si>
  <si>
    <t>CANETA MARCA TEXTO AZUL</t>
  </si>
  <si>
    <t>CANETA MARCA TEXTO LARANJA</t>
  </si>
  <si>
    <t>CANETA MARCA TEXTO ROSA</t>
  </si>
  <si>
    <t>CANETA MARCA TEXTO VERDE</t>
  </si>
  <si>
    <t>CORRETIVO LIQUIDO 18 ML</t>
  </si>
  <si>
    <t>Lápis grafite, graduação HB, formato sextavado</t>
  </si>
  <si>
    <t>PINCEL ATOMICO AZUL</t>
  </si>
  <si>
    <t>PINCEL ATOMICO PRETO</t>
  </si>
  <si>
    <t>PINCEL ATOMICO VERMELHO</t>
  </si>
  <si>
    <t>PINCEL PARA QUADRO BRANCO - AZUL</t>
  </si>
  <si>
    <t>PINCEL PARA QUADRO BRANCO - PRETA</t>
  </si>
  <si>
    <t>PINCEL PARA QUADRO BRANCO - VERMELHA</t>
  </si>
  <si>
    <t>CORRETIVO EM FITA</t>
  </si>
  <si>
    <t>Fita adesiva dupla face</t>
  </si>
  <si>
    <t>Fita adesiva transparente larga 48mmx100m. Referência: Durex ou outra marca de igual ou superior qualidade</t>
  </si>
  <si>
    <t>FITA ADESIVA TRANSPARENTE 45MM X 50M</t>
  </si>
  <si>
    <t>Fita crepe larga</t>
  </si>
  <si>
    <t>FITA ADESIVA TRANSPARENTE  18MM x 50M</t>
  </si>
  <si>
    <t>FITA ADESIVA TRANSPARENTE 12MM X 45M</t>
  </si>
  <si>
    <t>FITA CREPE 25MM X 50M</t>
  </si>
  <si>
    <t>FITA DUPLA FACE 18MM X 30M</t>
  </si>
  <si>
    <t>BALÃO DE BEXIGA NA COR ROSA Nº 9</t>
  </si>
  <si>
    <t>BALÃO DE BEXIGA NA AZUL Nº 9</t>
  </si>
  <si>
    <t>BALÃO DE BEXIGA NA AMARELO Nº 9</t>
  </si>
  <si>
    <t>Glitter - pacote com 500 gramas - Diversas cores</t>
  </si>
  <si>
    <t>Bloco para aquarela, tamanho A4, 140g/m², 20 folhas</t>
  </si>
  <si>
    <t>BLOCO</t>
  </si>
  <si>
    <t>Caneta Posca - preta</t>
  </si>
  <si>
    <t>Caneta Posca - branca</t>
  </si>
  <si>
    <t>Carvão vegetal grosso, para desenho, com 06 unidades.</t>
  </si>
  <si>
    <t>Carvão vegetal fino, para desenho, com 12 unidades.</t>
  </si>
  <si>
    <t>Cavalete de mesa para pintura, 70cm</t>
  </si>
  <si>
    <t>Refil de cola quente 7,0mm de diâmetro e 30 cm de comprimento</t>
  </si>
  <si>
    <t>Cola silicone para artesanato, 60 ml</t>
  </si>
  <si>
    <t>Giz pastel oleoso com 16 cores</t>
  </si>
  <si>
    <t>Lixa de madeira - Lixa d'agua para madeira, n°180</t>
  </si>
  <si>
    <t>Lixa de madeira - Lixa d'agua para madeira, n°220</t>
  </si>
  <si>
    <t>Pincel em pelo, n°000</t>
  </si>
  <si>
    <t>Pincel em pelo, n°0</t>
  </si>
  <si>
    <t>Pincel em pelo, n°04</t>
  </si>
  <si>
    <t>Pincel em pelo, n°10</t>
  </si>
  <si>
    <t>Pincel em pelo, n°16</t>
  </si>
  <si>
    <t>Pincel redondo brocha, n°0</t>
  </si>
  <si>
    <t>Pincel redondo brocha, n°00</t>
  </si>
  <si>
    <t>Pincel redondo brocha, n°4</t>
  </si>
  <si>
    <t>Tela branca de pintura em algodão e chassi de madeira 20x20</t>
  </si>
  <si>
    <t>Tela branca de pintura em algodão e chassi de madeira 30x40</t>
  </si>
  <si>
    <t>Tela branca de pintura em algodão e chassi de madeira 50x70</t>
  </si>
  <si>
    <t>Termolina leitosa - ipermeabilizante para tecidos, isopor e papel</t>
  </si>
  <si>
    <t>Tinta acrílica fosca</t>
  </si>
  <si>
    <t>Tinta acrílica para telas, em bisnaga, caixa com 08 cores</t>
  </si>
  <si>
    <t>Tinta para tecido, com 36 cores</t>
  </si>
  <si>
    <t>Cola permanente para tecido 37ml</t>
  </si>
  <si>
    <t>Tinta metalica prata, 37ml</t>
  </si>
  <si>
    <t>Tinta metálica dourada, 37ml</t>
  </si>
  <si>
    <t>Tinta metálica vermelha, 37ml</t>
  </si>
  <si>
    <t>Tinta PVA - MDF para artesanato, com 36 cores</t>
  </si>
  <si>
    <t>Verniz uso geral, 500ml</t>
  </si>
  <si>
    <t>Verniz brilhante para madeira , 500ml</t>
  </si>
  <si>
    <t>Tinta dimensional, caixa com 06 cores</t>
  </si>
  <si>
    <t>Verniz vitral com 37ml, kit com 06 cores</t>
  </si>
  <si>
    <t>Balão de bexiga n°09, cor rosa pink, pacote com 50 unidades</t>
  </si>
  <si>
    <t>Balão de bexiga n°09, cor azul marinho, pacote com 50 unidades</t>
  </si>
  <si>
    <t>Balão de bexiga n°09, cor dourado, pacote com 50 unidades</t>
  </si>
  <si>
    <t>Folha em EVA, 600x400x2mm, cor roxo</t>
  </si>
  <si>
    <t>Folha em EVA, 600x400x2mm, cor dourado com glitter</t>
  </si>
  <si>
    <t>Folha em EVA, 600x400x2mm, cor azul marinho</t>
  </si>
  <si>
    <t>Fita cetim 22mm x 10m, nas cores azul, dourada, rosa, vermelho, branco, lilás, roxo, laranja, verde, amarela</t>
  </si>
  <si>
    <t>TNT 2,20x1,4m, pacote com 01 unidade - roxo</t>
  </si>
  <si>
    <t>TNT 2,20x1,4m, pacote com 01 unidade - branco</t>
  </si>
  <si>
    <t>TNT 2,20x1,4m, pacote com 01 unidade - lilás</t>
  </si>
  <si>
    <t>TNT 2,20x1,4m, pacote com 01 unidade - verde</t>
  </si>
  <si>
    <t>TNT 2,20x1,4m, pacote com 01 unidade - amarelo</t>
  </si>
  <si>
    <t>TNT 2,20x1,4m, pacote com 01 unidade - vermelho</t>
  </si>
  <si>
    <t>Flip Chart, com 50 folhas, furo padrão, papel sulfite 75gr, comprimento 940mm, largura 640mm</t>
  </si>
  <si>
    <t>TRANSPORTE/COLETA DE LIXO/DESTINAÇÃO FINAL DE RESÍDUO SAÚDE - GRUPO A</t>
  </si>
  <si>
    <t>Material de limpeza</t>
  </si>
  <si>
    <t>Sim - Aguardando a licitação em 2023 - GPRO 4119</t>
  </si>
  <si>
    <t>TRANSPORTE/COLETA DE LIXO/DESTINAÇÃO FINAL DE RESÍDUO SAÚDE - GRUPO B</t>
  </si>
  <si>
    <t>ALCOOL ETILICO 92,8%</t>
  </si>
  <si>
    <t>Não - Necessário nova licitação 2023</t>
  </si>
  <si>
    <t>ALCOOL EM GEL 70º INPM</t>
  </si>
  <si>
    <t>BALDE PLÁSTICO 20 LT</t>
  </si>
  <si>
    <t>CESTINHO DE LIXO - 5 LITROS, AÇO INOX</t>
  </si>
  <si>
    <t>CESTO DE LIXO - 62 LITROS</t>
  </si>
  <si>
    <t>DESINFETANTE - 5 LITROS</t>
  </si>
  <si>
    <t>DESINFETANTE FLORAL - 5 LITROS</t>
  </si>
  <si>
    <t>DESINFETANTE MULTIUSO LIMPEZA PESADA - 500 ML</t>
  </si>
  <si>
    <t>DETERGENTE 500 ML NEUTRO</t>
  </si>
  <si>
    <t>DETERGENTE 5 LITROS</t>
  </si>
  <si>
    <t>ESCOVA DE NYLON OVAL</t>
  </si>
  <si>
    <t>ESPANADOR</t>
  </si>
  <si>
    <t>ESPONJA DE AÇO</t>
  </si>
  <si>
    <t>ESPONJA DE LIMPEZA DUPLA FACE</t>
  </si>
  <si>
    <t>FLANELA PARA LIMPEZA</t>
  </si>
  <si>
    <t>FÓSFORO - PCT COM 10 CX COM 40 PALITOS</t>
  </si>
  <si>
    <t>INSETICIDA AEROSSOL 300 ML</t>
  </si>
  <si>
    <t>LIXEIRA PLÁSTICA 60 LT</t>
  </si>
  <si>
    <t>LIXEIRA QUADRADA - 100 LITROS</t>
  </si>
  <si>
    <t>LUVA DE BORRACHA FORRADA G</t>
  </si>
  <si>
    <t>LUVA DE BORRACHA FORRADA M</t>
  </si>
  <si>
    <t>MANGUEIRA DE JARDIM COM ADAPTADOR 50 M</t>
  </si>
  <si>
    <t>MULTIUSO LIMPEZA PESADA  - 500 ML</t>
  </si>
  <si>
    <t>NAFTALINA - REPELENTE BOLOTAS - 50 GRAMAS</t>
  </si>
  <si>
    <t>ODORIZADOR DE AMBIENTES</t>
  </si>
  <si>
    <t>PÁ COLETORA COM TAMPA E VASSOURA</t>
  </si>
  <si>
    <t>PÁ DE LIXO</t>
  </si>
  <si>
    <t>PÁ PARA LIXO PLÁSTICA COM CABO LONGO</t>
  </si>
  <si>
    <t>PANO DE CHAO ALVEJADO</t>
  </si>
  <si>
    <t>PANO MULTIUSO - PCT 5 UM</t>
  </si>
  <si>
    <t>PANO DE PRATO ALVEJADO</t>
  </si>
  <si>
    <t>PANO MICROF USO GERAL VERDE</t>
  </si>
  <si>
    <t>PAPEL HIGIÊNICO</t>
  </si>
  <si>
    <t>PAPEL TOALHA INFERFOLHAS BRANCO</t>
  </si>
  <si>
    <t>PASTILHA DE CLORO - 200G</t>
  </si>
  <si>
    <t>PEDRA SANITÁRIA</t>
  </si>
  <si>
    <t>RODO DE 40 CM COM CABO</t>
  </si>
  <si>
    <t>RODO DE MADEIRA 60 CM</t>
  </si>
  <si>
    <t>RODO DE MADEIRA SIMPLES 30 CM</t>
  </si>
  <si>
    <t>RODO DE PLASTICO 60 CM</t>
  </si>
  <si>
    <t>RODO DUPLO 40 CM</t>
  </si>
  <si>
    <t>RODO LIMPA VIDROS 35 CM</t>
  </si>
  <si>
    <t>RODO PLASTICO 30 CM</t>
  </si>
  <si>
    <t>SABÃO EM BARRA</t>
  </si>
  <si>
    <t>SABÃO EM PÓ 1 KG</t>
  </si>
  <si>
    <t>SABONETE LÍQUIDO 5 LITROS</t>
  </si>
  <si>
    <t>SODA CAÚSTICA</t>
  </si>
  <si>
    <t>VASSOURA DE NYLON</t>
  </si>
  <si>
    <t>VASSOURA DE PELO 30 CM</t>
  </si>
  <si>
    <t>VASSOURA DE PELO 60 CM</t>
  </si>
  <si>
    <t>VASSOURA DE VASCULHO</t>
  </si>
  <si>
    <t>VASSOURA LAVATINA DE NYLON</t>
  </si>
  <si>
    <t>VASSOURA LAVATINA PIAÇAVA</t>
  </si>
  <si>
    <t>VASSOURA PIAÇAVA 30 CM</t>
  </si>
  <si>
    <t>VASSOURÃO 40 CM C CERDAS</t>
  </si>
  <si>
    <t>LIXEIRA COM TAMPA BASCULANTE 20 L</t>
  </si>
  <si>
    <t>LIXEIRA DE AÇO COM PEDAL 30 L</t>
  </si>
  <si>
    <t>LIXEIRA DE AÇO COM PEDAL 10 L</t>
  </si>
  <si>
    <t>LIXEIRA DE AÇO COM PEDAL 50 L</t>
  </si>
  <si>
    <t>LIXEIRA COM PEDAL COM ARMAÇÃO DE FERRO  - 20 L</t>
  </si>
  <si>
    <t>LIXEIRA COM PEDAL COM ARMAÇÃO DE FERRO  - 40 L</t>
  </si>
  <si>
    <t>LIMPA VIDROS PROFISSIONAL - 5 L</t>
  </si>
  <si>
    <t>LIMPADOR PESADO PARA PISOS - 5 L</t>
  </si>
  <si>
    <t>CESTO PLÁSTICO DE 100 LITROS COM PEDAL</t>
  </si>
  <si>
    <t xml:space="preserve">PAPEL ALUMÍNIO </t>
  </si>
  <si>
    <t>ÁGUA SANITÁRIA - 1 L</t>
  </si>
  <si>
    <t>ÁGUA SANITÁRIA - 5 L</t>
  </si>
  <si>
    <t>BOTA DE BORRACHA BRANCA</t>
  </si>
  <si>
    <t>SERVIÇOS DIVERSOS - Advertência da Vigilância Sanitária</t>
  </si>
  <si>
    <t>Bl</t>
  </si>
  <si>
    <t>Material Gráfico</t>
  </si>
  <si>
    <t>SERVIÇOS DIVERSOS - APAC</t>
  </si>
  <si>
    <t>SERVIÇOS DIVERSOS - ASO - Atestado de Saúde Ocupacional</t>
  </si>
  <si>
    <t>SERVIÇOS DIVERSOS - Atestado Médico</t>
  </si>
  <si>
    <t>SERVIÇOS DIVERSOS - Boletim de atividades de vigilância e controle</t>
  </si>
  <si>
    <t>SERVIÇOS DIVERSOS - BPA-I Pacientes Especiais</t>
  </si>
  <si>
    <t>SERVIÇOS DIVERSOS - BPA-I Padrão</t>
  </si>
  <si>
    <t>SERVIÇOS DIVERSOS - BPA-I Prótese Dentária</t>
  </si>
  <si>
    <t>SERVIÇOS DIVERSOS - Cadastro de Prótese</t>
  </si>
  <si>
    <t>SERVIÇOS DIVERSOS - Cadastro Individual</t>
  </si>
  <si>
    <t>SERVIÇOS DIVERSOS - Capa de Processo Timbrada</t>
  </si>
  <si>
    <t>SERVIÇOS DIVERSOS - Cartão de Agendamento</t>
  </si>
  <si>
    <t>SERVIÇOS DIVERSOS - Cartão Hiperdia</t>
  </si>
  <si>
    <t>SERVIÇOS DIVERSOS - Cartão Índice</t>
  </si>
  <si>
    <t>SERVIÇOS DIVERSOS - CARTAZ FORMATO A2 4X0 COUCHÊ</t>
  </si>
  <si>
    <t>SERVIÇOS DIVERSOS - CONFECÇÃO DE ADESIVOS ( PRAGUINHAS)</t>
  </si>
  <si>
    <t>SERVIÇOS DIVERSOS - CONFECÇÃO DE FAIXA DE 2 METROS</t>
  </si>
  <si>
    <t>SERVIÇOS DIVERSOS - CONFECÇÃO DE FLYERS</t>
  </si>
  <si>
    <t>SERVIÇOS DIVERSOS - Declaração de comparecimento</t>
  </si>
  <si>
    <t>SERVIÇOS DIVERSOS - ENVELOPE BRANCO GRANDE TIMBRADO 260MM X 360MM 90G/M2.</t>
  </si>
  <si>
    <t>SERVIÇOS DIVERSOS - ENVELOPE OFICIO TIMBRADO 114MM X 229,75G/M2</t>
  </si>
  <si>
    <t>SERVIÇOS DIVERSOS - Envelope prontuário</t>
  </si>
  <si>
    <t>SERVIÇOS DIVERSOS - Equipamentos em Saúde</t>
  </si>
  <si>
    <t>SERVIÇOS DIVERSOS - Ficha B de DIA (diabetes)</t>
  </si>
  <si>
    <t>SERVIÇOS DIVERSOS - Ficha B HA (hipertensão)</t>
  </si>
  <si>
    <t>SERVIÇOS DIVERSOS - Ficha Cadastro SISVAN</t>
  </si>
  <si>
    <t>SERVIÇOS DIVERSOS - Ficha Clínica</t>
  </si>
  <si>
    <t>SERVIÇOS DIVERSOS - Ficha D Complementar</t>
  </si>
  <si>
    <t>SERVIÇOS DIVERSOS - Ficha de atendimento individual</t>
  </si>
  <si>
    <t>SERVIÇOS DIVERSOS - Ficha de atendimento odontológico individual</t>
  </si>
  <si>
    <t>SERVIÇOS DIVERSOS - Ficha de atendimento pré-hospitalar</t>
  </si>
  <si>
    <t>SERVIÇOS DIVERSOS - Ficha de atividade coletiva</t>
  </si>
  <si>
    <t>SERVIÇOS DIVERSOS - Ficha de cadastramento de gestante</t>
  </si>
  <si>
    <t>SERVIÇOS DIVERSOS - Ficha de cadastro domiciliar</t>
  </si>
  <si>
    <t>SERVIÇOS DIVERSOS - Ficha de Procedimentos</t>
  </si>
  <si>
    <t>SERVIÇOS DIVERSOS - Ficha de visita domiciliar</t>
  </si>
  <si>
    <t>SERVIÇOS DIVERSOS - Ficha Sisprenatal Web</t>
  </si>
  <si>
    <t>SERVIÇOS DIVERSOS - FOLDER 4X4 COUCHÊ 210X100 MM</t>
  </si>
  <si>
    <t>SERVIÇOS DIVERSOS - Gráfico para acompanhamento do crescimento feminino</t>
  </si>
  <si>
    <t>SERVIÇOS DIVERSOS - Gráfico para acompanhamento do crescimento masculino</t>
  </si>
  <si>
    <t>SERVIÇOS DIVERSOS - Guia de encaminhamento</t>
  </si>
  <si>
    <t>SERVIÇOS DIVERSOS - Guia de referência/ contra referência</t>
  </si>
  <si>
    <t>SERVIÇOS DIVERSOS - Informativo de escorpiões</t>
  </si>
  <si>
    <t>SERVIÇOS DIVERSOS - Informativo de Leptospirose</t>
  </si>
  <si>
    <t>SERVIÇOS DIVERSOS - Laudo para teste rápido de gravidez</t>
  </si>
  <si>
    <t>SERVIÇOS DIVERSOS - Movimento semanal de imunobiológicos</t>
  </si>
  <si>
    <t>SERVIÇOS DIVERSOS - Notificação</t>
  </si>
  <si>
    <t>SERVIÇOS DIVERSOS - Orientação de desinfecção</t>
  </si>
  <si>
    <t>SERVIÇOS DIVERSOS - Orientações (Visa)</t>
  </si>
  <si>
    <t>SERVIÇOS DIVERSOS - Procedimento em vigilância sanitária</t>
  </si>
  <si>
    <t>SERVIÇOS DIVERSOS - Receituário carbonado</t>
  </si>
  <si>
    <t>SERVIÇOS DIVERSOS - Receituário controle especial</t>
  </si>
  <si>
    <t>SERVIÇOS DIVERSOS - Registro de coleta de papanicolau</t>
  </si>
  <si>
    <t>SERVIÇOS DIVERSOS - Relatório de visita domiciliar</t>
  </si>
  <si>
    <t>SERVIÇOS DIVERSOS - Requisição de Mamografia</t>
  </si>
  <si>
    <t>SERVIÇOS DIVERSOS - Requisição para exame citopatológico</t>
  </si>
  <si>
    <t>SERVIÇOS DIVERSOS - Resultado da mamografia</t>
  </si>
  <si>
    <t>SERVIÇOS DIVERSOS - SADT</t>
  </si>
  <si>
    <t>SERVIÇOS DIVERSOS - SERVIÇO DE CONFECÇÃO DE CARTAZES A3 -</t>
  </si>
  <si>
    <t>SERVIÇOS DIVERSOS - SERVIÇO DE ENCADERNAÇÃO 32,7 CM X 22,3 CM</t>
  </si>
  <si>
    <t>SERVIÇOS DIVERSOS - TALONÁRIO TIPO B</t>
  </si>
  <si>
    <t>SERVIÇOS DIVERSOS - Formulário para Reclamação</t>
  </si>
  <si>
    <t>SERVIÇOS DIVERSOS - Solicitação de Atos de Vigilância Sanitária</t>
  </si>
  <si>
    <t>SERVIÇOS DIVERSOS - Folder</t>
  </si>
  <si>
    <t>SERVIÇOS DIVERSOS - CONFECÇÃO DE CARIMBO AUTOMÁTICO C 20</t>
  </si>
  <si>
    <t>SERVIÇOS DIVERSOS - CONFECÇÃO DE CARIMBO AUTOMÁTICO</t>
  </si>
  <si>
    <t>SERVIÇOS DIVERSOS - CAPA PARA PRONTUÁRIO</t>
  </si>
  <si>
    <t>SERVIÇOS DIVERSOS - BLOCO DE COMPARECIMENTO</t>
  </si>
  <si>
    <t>SERVIÇOS DIVERSOS - BLOCO DE ENCAMINHAMENTO</t>
  </si>
  <si>
    <t>SERVIÇOS DIVERSOS - CARTÃO</t>
  </si>
  <si>
    <t>SERVIÇOS DIVERSOS - BLOCO DE REGISTRO</t>
  </si>
  <si>
    <t>SERVIÇOS DIVERSOS - CONFECÇÃO DE CARIMBO DE MADEIRA</t>
  </si>
  <si>
    <t>SERVIÇOS DIVERSOS - Caderneta da Gestante 5a edição 2020, do Ministério da Saúde</t>
  </si>
  <si>
    <t>ABAIXADOR DE LINGUA DE MADEIRA - PACOTE COM 100 UNIDADES</t>
  </si>
  <si>
    <t>Material Hospitalar</t>
  </si>
  <si>
    <t>ÁGUA DESTILADA – AMPOLA DE PLÁSTICO COM 10 ML</t>
  </si>
  <si>
    <t>ÁGUA OXIGENADA 10 VOL. FRASCO 1 LITRO - ANTISSÉPTICO, PERÓXIDODE HIDROGÊNIO 3%  - VEÍCULO QSP 100%</t>
  </si>
  <si>
    <t>AGULHA HIPODÉRMICA DESCARTAVEL 13 X 4,5.</t>
  </si>
  <si>
    <t>AGULHA HIPODÉRMICA - DESCARTÁVEL 20 X 5,5 (24G x 3/4")</t>
  </si>
  <si>
    <t>AGULHA HIPODÉRMICA DESCARTAVEL 30 X 7. COMPOSTA DE CÂNULA COM BISEL</t>
  </si>
  <si>
    <t>AGULHA HIPODÉRMICA DESCARTAVEL 30 X 8. COMPOSTA DE CÂNULA COM BISEL</t>
  </si>
  <si>
    <t>AGULHA HIPODERMICA ESTÉRIL DESCARTÁVEL PARA APLICAÇÃO DE INSULINA- 5MM X 0,2500 A 5MM X 0,3MM - CAIXA COM 100 UNIDADES</t>
  </si>
  <si>
    <t>AGULHA HIPODERMICA ESTÉRIL DESCARTÁVEL PARA APLICAÇÃO DE INSULINA - 6MM X 0,2500 A 6MM X 0,3MM - CAIXA COM 100 UNIDADES</t>
  </si>
  <si>
    <t>ALCOOL 92,8% - FRASCO COM 1 LITRO</t>
  </si>
  <si>
    <t>ALCOOL ETILICO HIDRATADO 70GL – 1 LITRO</t>
  </si>
  <si>
    <t>ALCOOL IODADO 0,1%- FRASCO DE 1 LITRO</t>
  </si>
  <si>
    <t>ALGODÃO HIDRÓFILO NÃO ESTÉRIL CONFECCCIONADO COM FIBRAS 100% ALGODÃO 500 GRAMAS.</t>
  </si>
  <si>
    <t>ALMOTOLIA 125 ML – AMBAR PLASTICA – BICO RETO</t>
  </si>
  <si>
    <t>ALMOTOLIA 125 ML – TRANSPARENTE PLASTICA – BICO RETO</t>
  </si>
  <si>
    <t>ALMOTOLIA 250 ML – AMBAR PLASTICA – BICO RETO</t>
  </si>
  <si>
    <t>ALMOTOLIA 250 ML – TRANSPARANTE PLASTICA – BICO RETO</t>
  </si>
  <si>
    <t>ATADURA DE CREPE 10 CM X 1,80 M – 13 FIOS/CM</t>
  </si>
  <si>
    <t>ATADURA DE CREPE 12 CM X 1,80 M – 13 FIOS/CM</t>
  </si>
  <si>
    <t>ATADURA DE CREPE 15 CM X 1,80 M – 13 FIOS/CM</t>
  </si>
  <si>
    <t>ATADURA DE CREPE 20 CMX 1,80 M– 13 FIOS/CM</t>
  </si>
  <si>
    <t>AVENTAL DESCARTAVEL</t>
  </si>
  <si>
    <t>AVENTAL DESCARTÁVEL EM TNT 40G MANGA CURTA</t>
  </si>
  <si>
    <t>BOLSA COLETORA DE URINA DESCARTAVEL TIPO SACOLA COM CORDÃO 2000 ML</t>
  </si>
  <si>
    <t>BOLSA COLETORA DE URINA SISTEMA FECHADO CABECEIRA</t>
  </si>
  <si>
    <t>BOLSA COLETORA DE URINA SISTEMA FECHADO TIPO PERNA</t>
  </si>
  <si>
    <t>BOLSA DE COLOSTOMIA / ILEOSTOMIA OPACA</t>
  </si>
  <si>
    <t>BOLSA DE COLOSTOMIA / ILEOSTOMIA TRANSPARENTE</t>
  </si>
  <si>
    <t>BOLSA PARA ESTOMA INTESTINAL CONVEXA</t>
  </si>
  <si>
    <t>CAIXA COLETORA DE MATERIAL PERFURACORTANTE – 13 LITROS</t>
  </si>
  <si>
    <t>CAIXA COLETORA DE MATERIAL PERFURACORTANTE – 3 LITROS</t>
  </si>
  <si>
    <t>CAIXA COLETORA DE MATERIAL PERFUROCORTANTE 20L</t>
  </si>
  <si>
    <t>CAIXA COLETORA DE MATERIAL PERFUROCORTANTE 7 L - CAIXA COM 10 UNIDADES.</t>
  </si>
  <si>
    <t>CAMPO CIRÚRGICO ESTÉRIL FENESTRADO TNT 40 CM X 40 CM</t>
  </si>
  <si>
    <t>CATETER INTRAVENOSO JELCO 16G</t>
  </si>
  <si>
    <t>CATETER INTRAVENOSO JELCO 18G</t>
  </si>
  <si>
    <t>CATETER INTRAVENOSO JELCO 20G</t>
  </si>
  <si>
    <t>CATETER TIPO OCULOS PARA OXIGÊNIO ADULTO- 1, 20M</t>
  </si>
  <si>
    <t>CATETER TIPO OCULOS PARA OXIGÊNIO INFANTIL Nº10- 1, 20M</t>
  </si>
  <si>
    <t>CLORETO DE SÓDIO 0,9 % - AMPOLA DE 10 ML</t>
  </si>
  <si>
    <t>CLORETO DE SÓDIO 0,9 % - BOLSA/FRASCO - SISTEMA FECHADO 100 ML</t>
  </si>
  <si>
    <t>CLORETO DE SÓDIO 0,9 % - BOLSA/FRASCO - SISTEMA FECHADO 250 ML</t>
  </si>
  <si>
    <t>CLORETO DE SÓDIO 0,9 % - BOLSA/FRASCO SISTEMA FECHADO 500 ML</t>
  </si>
  <si>
    <t>CLOREXIDINA ALCOOLICA 0,5% - FRASCO 100 ML</t>
  </si>
  <si>
    <t>CLOREXIDINA AQUOSA 0,2% - FRASCO 1 LITRO</t>
  </si>
  <si>
    <t>COMPRESSA GAZE HIDRÓFILA, NÃO ESTÉRIL, 100%ALGODÃO – 5 DOBRAS, 8 CAMADAS, PICOTADA, 7,5x7,5 , 13 FIOS – (PACOTE COM 500 UNIDADES)</t>
  </si>
  <si>
    <t>CUBA RIM EM AÇO INOXIDAVEL, CAPACIDADE DE 700 a 750ML</t>
  </si>
  <si>
    <t>CURATIVO DE ALTA ABSORÇÃO</t>
  </si>
  <si>
    <t>DETERGENTE ENZIMÁTICO FRASCO 1 LITRO</t>
  </si>
  <si>
    <t>DISPOSITIVO PARA INCONTINÊNCIA URINÁRIA MASCULINO COM EXTENSÃO N°5 - URIPEN</t>
  </si>
  <si>
    <t>DISPOSITIVO PARA INCONTINÊNCIA URINÁRIA MASCULINO SEM EXTENSÃO Nº5 - URIPEN</t>
  </si>
  <si>
    <t>DISPOSITIVO PARA INCONTINÊNCIA URINÁRIA MASCULINO SEM EXTENSÃO N°6 - URIPEN</t>
  </si>
  <si>
    <t>DISPOSTIVO PARA INCONTINÊNCIA URINÁRIA MASCULINO COM EXTENSÃO Nº6 – URIPEN</t>
  </si>
  <si>
    <t>EQUIPO PARA INFUSÃO, SIMPLES, ESTÉRIL, PONTA PERFUROCORTANTE, CÂMARA FLEXÍVEL GOTEJADORA EM MACROGOTAS, TUBO EM PVC</t>
  </si>
  <si>
    <t>EQUIPO PARA INFUSÃO, SIMPLES, ESTÉRIL, PONTA PERFUROCORTANTE, CÂMARA FLEXÍVEL GOTEJADORA EM MICROGOTAS, TUBO EM PVC</t>
  </si>
  <si>
    <t>ESCOVA CERVICAL GINECOLOGICA DESCARTAVEL – NÃO ESTERIL - PACOTE COM 100 UNIDADES</t>
  </si>
  <si>
    <t>ESFIGMOMANÔMETRO ANEROIDE ADULTO</t>
  </si>
  <si>
    <t>ESFIGMOMANÔMETRO INFANTIL, POSSUI MANÔMETRO ANERÓIDE (NÃO UTILIZA LÍQUIDO) EM ESCALA DE 0 A 300 MMHG</t>
  </si>
  <si>
    <t>ESFIGMOMANÔMETRO OBESO</t>
  </si>
  <si>
    <t>ESPARADRAPO IMPERMEÁVEL 2,5 CM X 4,5 M</t>
  </si>
  <si>
    <t>ESPARADRAPO IMPERMEÁVEL 5 CM X 4,5 M</t>
  </si>
  <si>
    <t>ESPATULA AYRES DE MADEIRA - PACOTE COM 100 UNIDADES</t>
  </si>
  <si>
    <t>ESPÉCULO VAGINAL DESCARTAVEL SEM LUBRIFICAÇÃO ESTERIL – TAMANHO GRANDE</t>
  </si>
  <si>
    <t>ESPÉCULO VAGINAL DESCARTAVEL SEM LUBRIFICAÇÃO ESTERIL – TAMANHO MÉDIO</t>
  </si>
  <si>
    <t>ESPÉCULO VAGINAL DESCARTAVEL SEM LUBRIFICAÇÃO ESTERIL – TAMANHO PEQUENO</t>
  </si>
  <si>
    <t>ESTETOSCÓPIO DUPLO SIMPLES</t>
  </si>
  <si>
    <t xml:space="preserve">FIO DE SUTURA NYLON MONOFILAMENTO PRETO 2-0, NÃO ABSORVIVEL, COM AGULHA CT 3/8, 2,5 CM, FIO DE 45 CM. </t>
  </si>
  <si>
    <t xml:space="preserve">FIO DE SUTURA NYLON MONOFILAMENTO PRETO 2-0, NÃO ABSORVIVEL, COM AGULHA CT 3/8, 2 CM, FIO DE 45 CM. </t>
  </si>
  <si>
    <t xml:space="preserve">FIO DE SUTURA NYLON MONOFILAMENTO PRETO 2-0, NÃO ABSORVIVEL, COM AGULHA CT 3/8, 3 CM, FIO DE 45 CM. </t>
  </si>
  <si>
    <t xml:space="preserve">FIO DE SUTURA NYLON MONOFILAMENTO PRETO 3-0, NÃO ABSORVIVEL, COM AGULHA CT 3/8, 2,5 CM, FIO DE 45 CM. </t>
  </si>
  <si>
    <t xml:space="preserve">FIO DE SUTURA NYLON MONOFILAMENTO PRETO 3-0, NÃO ABSORVIVEL, COM AGULHA CT 3/8, 2 CM, FIO DE 45 CM. </t>
  </si>
  <si>
    <t xml:space="preserve">FIO DE SUTURA NYLON MONOFILAMENTO PRETO 3-0, NÃO ABSORVIVEL, COM AGULHA CT 3/8, 3 CM, FIO DE 45 CM. </t>
  </si>
  <si>
    <t>FIO DE SUTURA NYLON MONOFILAMENTO PRETO 4-0, NÃO ABSORVIVEL, COM AGULHA CT 3/8, 2,5 CM, FIO DE 45 CM.</t>
  </si>
  <si>
    <t xml:space="preserve">IO DE SUTURA NYLON MONOFILAMENTO PRETO 4-0, NÃO ABSORVIVEL, COM AGULHA CT 3/8, 2 CM, FIO DE 45 CM. </t>
  </si>
  <si>
    <t xml:space="preserve">FIO DE SUTURA NYLON MONOFILAMENTO PRETO 4-0, NÃO ABSORVIVEL, COM AGULHA CT 3/8, 3 CM, FIO DE 45 CM. </t>
  </si>
  <si>
    <t>FIO DE SUTURA NYLON MONOFILAMENTO PRETO 5-0, NÃO ABSORVIVEL, COM AGULHA CT 3/8, 2,5 CM, FIO DE 45 CM</t>
  </si>
  <si>
    <t>FIO DE SUTURA NYLON MONOFILAMENTO PRETO 5-0, NÃO ABSORVIVEL, COM AGULHA CT 3/8, 2 CM, FIO DE 45 CM</t>
  </si>
  <si>
    <t>FITA CIRURGICA MICROPOROSA ALERGENICA 100 MM X 10 M</t>
  </si>
  <si>
    <t>FITA CIRURGICA MICROPOROSA ALERGENICA 12 MM X 10 M</t>
  </si>
  <si>
    <t>FITA CIRURGICA MICROPOROSA ALERGENICA 25 MM X 10 M</t>
  </si>
  <si>
    <t>FITA CIRURGICA MICROPOROSA ALERGENICA 50 MM X 10 M</t>
  </si>
  <si>
    <t>FITA CREPE 19MM X 50M</t>
  </si>
  <si>
    <t>FITA DE AUTOCLAVE 19 MM X 30M</t>
  </si>
  <si>
    <t>FIXADOR CELULAR DE LAMINA- AEROSOL 100 ML (KOLPOFIX)</t>
  </si>
  <si>
    <t>GEL HIDRATANTE NÃO ESTÉRIL</t>
  </si>
  <si>
    <t>GEL PARA ELETROCARDIOGRAMA- CARBOGEL- FRASCO COM 1kg</t>
  </si>
  <si>
    <t>GEL PARA ULTRASSOM ISENTO DE SAL- FRASCO COM 1kg</t>
  </si>
  <si>
    <t>HASTES FLEXÍVEIS COM PONTAS DE ALGODÃO - EMBALAGEM COM 75 UNIDADES</t>
  </si>
  <si>
    <t>HIPOCLORITO 1% - FRASCO DE 1 LITRO</t>
  </si>
  <si>
    <t>INDICADOR BIOLÓGICO - CX COM 10 UNIDADES PARA MONITORAMENTO E AVALIAÇÃO DOS CICLOS DE ESTERILIZAÇÃO EM AUTOCLAVES A VAPOR</t>
  </si>
  <si>
    <t>IODO POLIVIDONA DEGERMANTE SOLUÇÃO AQUOSA A 10% - TÓPICO - FRASCO DE 1 LITRO</t>
  </si>
  <si>
    <t>KIT DIU ESTÉRIL DESCARTÁVEL</t>
  </si>
  <si>
    <t>LÂMINA BISTURI N. 11 - AÇO CARBONO</t>
  </si>
  <si>
    <t>LÂMINA BISTURI N. 15 - AÇO CARBONO</t>
  </si>
  <si>
    <t>LÂMINA PARA MICROSCOPIA PONTA FOSCA BEIRADAS NÃO LAPIDADAS 25,4 X 76,2 MM (1” X 3”) - EMBALAGEM COM 50 UNIDADES</t>
  </si>
  <si>
    <t>Lancetas estéreis, em aço inoxidáve</t>
  </si>
  <si>
    <t>LENÇOL DESCARTÁVEL DE PAPEL EM ROLO – 100% FIBRAS NATURAIS - 50CM X 50 M</t>
  </si>
  <si>
    <t>LENÇOL DESCARTAVEL EM TNT COM ELASTICO</t>
  </si>
  <si>
    <t>LUVA CIRÚRGICA DE LÁTEX ESTÉRIL TAMANHO 7</t>
  </si>
  <si>
    <t>LUVA CIRÚRGICA DE LÁTEX ESTÉRIL TAMANHO 8</t>
  </si>
  <si>
    <t>LUVA DE LATEX PARA PROCEDIMENTO NAO ESTERIL – TAMANHO G - CAIXA COM 100 UNIDADES CADA</t>
  </si>
  <si>
    <t>LUVA DE LATEX PARA PROCEDIMENTO NAO ESTERIL – TAMANHO M</t>
  </si>
  <si>
    <t>LUVA DE LATEX PARA PROCEDIMENTO  NAO ESTERIL – TAMANHO P</t>
  </si>
  <si>
    <t>LUVA NITRILICA SEM PO - TAMANHO G</t>
  </si>
  <si>
    <t>LUVA NITRILICA SEM PO - TAMANHO M</t>
  </si>
  <si>
    <t>LUVA NITRILICA SEM PO - TAMANHO P</t>
  </si>
  <si>
    <t>MÁSCARA DESCARTÁVEL TIPO RESPIRADOR PFF² / N95</t>
  </si>
  <si>
    <t>MASCARA DESCARTAVEL TRIPLA COM ELASTICO</t>
  </si>
  <si>
    <t>ÓLEO MINERAL 100% NATURAL, USO TÓPICO PARA PELE - FRASCO C/100ML</t>
  </si>
  <si>
    <t>PAPEL GRAU CIRÚRGICO</t>
  </si>
  <si>
    <t>PAPEL GRAU CIRURGICO</t>
  </si>
  <si>
    <t>PAPEL GRAU CIRÚRGICO - ISENTO DE FUROS, SEM CORANTES, REPELENTE A LÍQUIDOS, RESISTENTE A RASGOS E INODORO- ROLO10CMX100M</t>
  </si>
  <si>
    <t>PAPEL GRAU CIRÚRGICO-ISENTO DE FUROS, SEM CORANTES, REPELENTE A LÍQUIDOS, RESISTENTE A RASGOS E INODORO- ROLO 25CMX100M</t>
  </si>
  <si>
    <t>PAPEL GRAU CIRURGICO-ISENTO DE FUROS , SEM CORANTES, REPELENTE A LÍQUIDOS, RESISTENTE A RASGOS E INODORO- ROLO 40CMX100M</t>
  </si>
  <si>
    <t>PINÇA CHERON 24 CM CONFECCIONADA EM AÇO INOXIDÁVEL</t>
  </si>
  <si>
    <t>PINÇA DENTE DE RATO 14 CM, CONFECCCIONADO EM AÇO INOXIDAVEL, ANATÔMICA, COM DENTES NA EXTREMIDADE. EMBALAGEM PLÁSTICA  I</t>
  </si>
  <si>
    <t>PINÇA HEMOSTÁTICA  HALSTEAD MOSQUITO CURVA 12CM. AÇO INOXIDAVEL EMBALAGEM PLASTICA INDIVIDUAL.</t>
  </si>
  <si>
    <t>PINÇA POZZI 24 CM, COM GARRAS, CONFECCIONADO EM AÇO INOXIDÁVEL</t>
  </si>
  <si>
    <t>PORTA AGULHA MAYO 16 CM. CONFECCCIONADO EM AÇO INOXIDAVEL, COM SERRILHA. EMBALAGEM PLÁSTICA INDIVIDUAL.</t>
  </si>
  <si>
    <t>POTE COLETOR DE EXAMES TAMPA VERMELHA – ESTERIL - EMBALAGEM INDIVIDUAL - 80ML</t>
  </si>
  <si>
    <t>SACO PARA LIXO BRANCO 100 LITROS – PACOTE COM 100 UNIDADES</t>
  </si>
  <si>
    <t>SACO PARA LIXO BRANCO 30 LITROS – PACOTE COM 100 UNIDADES</t>
  </si>
  <si>
    <t>SCALP TIPO BORBOLETA COM BISEL CURTO TRIFACETADO, CÂNULA DE AÇO INOXIDÁVEL SILICONIZADA Nº 19, EMBALADA INDIVIDUALMENTE.</t>
  </si>
  <si>
    <t>SCALP TIPO BORBOLETA COM BISEL CURTO TRIFACETADO, CÂNULA DE AÇO INOXIDÁVEL SILICONIZADA Nº 21, EMBALADA INDIVIDUALMENTE.</t>
  </si>
  <si>
    <t>SCALP TIPO BORBOLETA COM BISEL CURTO TRIFACETADO, CÂNULA DE AÇO INOXIDÁVEL SILICONIZADA Nº 23, EMBALADA INDIVIDUALMENTE.</t>
  </si>
  <si>
    <t>SCALP TIPO BORBOLETA COM BISEL CURTO TRIFACETADO, CÂNULA DE AÇO INOXIDÁVEL SILICONIZADA Nº 25, EMBALADA INDIVIDUALMENTE.</t>
  </si>
  <si>
    <t>SERINGA DESCARTÁVEL, EM PLÁSTICO, ESTÉRIL, ATÓXICO, EPIROGÊNICO, ÍNTEGRO, TRANSPARENTE; COM CAPACIDADE DE 100UI</t>
  </si>
  <si>
    <t>SERINGA DESCARTÁVEL, EM PLÁSTICO, ESTÉRIL, ATÓXICO, EPIROGÊNICO, ÍNTEGRO, TRANSPARENTE;  COM CAPACIDADE DE 100UI</t>
  </si>
  <si>
    <t>SERINGA DESCARTÁVEL, EM PLÁSTICO, ESTÉRIL, ATÓXICO, EPIROGÊNICO, ÍNTEGRO, TRANSPARENTE; COM CAPACIDADE DE 50UI</t>
  </si>
  <si>
    <t>SERINGA HIPODERMICA DESCARTAVEL TIPO SLIP - 10 ML, EMBALADA INDIVIDUALMENTE.</t>
  </si>
  <si>
    <t>SERINGA HIPODERMICA DESCARTAVEL TIPO SLIP - 20 ML, EMBALADA INDIVIDUALMENTE.</t>
  </si>
  <si>
    <t>SERINGA HIPODERMICA DESCARTAVEL TIPO SLIP - 3 ML, EMBALADA INDIVIDUALMENTE.</t>
  </si>
  <si>
    <t>SERINGA HIPODERMICA DESCARTAVEL TIPO SLIP - 5 ML, EMBALADA INDIVIDUALMENTE.</t>
  </si>
  <si>
    <t>SERINGAS DE TUBERCULINA 1ml C/ AGULHA ACOPLADA</t>
  </si>
  <si>
    <t>SOLUÇÃO INJETÁVEL DE GLICOSE A 5% + CLORETO DE SÓDIO A 0,9% - BOLSA/FRASCO SISTEMA FECHADO - 500ML</t>
  </si>
  <si>
    <t>SOLUÇÃO INJETÁVEL DE RINGER LACTATO - BOLSA/FRASCO -  SISTEMA FECHADO - 500ML</t>
  </si>
  <si>
    <t>SONDA FOLEY 2 VIAS EM LÁTEX SILICONIZADA Nº 10</t>
  </si>
  <si>
    <t>SONDA FOLEY 2 VIAS EM LÁTEX SILICONIZADA Nº 12</t>
  </si>
  <si>
    <t>SONDA FOLEY 2 VIAS EM LÁTEX SILICONIZADA Nº 14</t>
  </si>
  <si>
    <t>SONDA FOLEY 2 VIAS EM LÁTEX SILICONIZADA Nº 16</t>
  </si>
  <si>
    <t>SONDA FOLEY 2 VIAS EM LÁTEX SILICONIZADA Nº 18</t>
  </si>
  <si>
    <t>SONDA FOLEY 2 VIAS EM LÁTEX SILICONIZADA Nº 20</t>
  </si>
  <si>
    <t>SONDA FOLEY 2 VIAS EM LÁTEX SILICONIZADA Nº 22</t>
  </si>
  <si>
    <t>SONDA NASOENTERAL PARA ALIMENTAÇÃO Nº 08 Fr</t>
  </si>
  <si>
    <t>SONDA NASOENTERAL PARA ALIMENTAÇÃO Nº 10 FR</t>
  </si>
  <si>
    <t>SONDA NASOENTERAL PARA ALIMENTAÇÃO Nº 12 FR</t>
  </si>
  <si>
    <t>SONDA PARA ASPIRAÇÃO ESTÉRIL  Nº 10</t>
  </si>
  <si>
    <t>SONDA PARA ASPIRAÇÃO ESTÉRIL Nº 12</t>
  </si>
  <si>
    <t>SONDA PARA ASPIRAÇÃO ESTÉRIL  Nº 14</t>
  </si>
  <si>
    <t>SONDA PARA ASPIRAÇÃO ESTÉRIL Nº 16</t>
  </si>
  <si>
    <t>SONDA PARA ASPIRAÇÃO ESTÉRIL Nº 8</t>
  </si>
  <si>
    <t>SONDA URETRAL ESTÉRIL Nº 06</t>
  </si>
  <si>
    <t>SONDA URETRAL ESTÉRIL Nº 08</t>
  </si>
  <si>
    <t>SONDA URETRAL ESTÉRIL Nº 10</t>
  </si>
  <si>
    <t>SONDA URETRAL ESTÉRIL Nº 12</t>
  </si>
  <si>
    <t>SUPORTE TIPO DESCARPACK 13 L</t>
  </si>
  <si>
    <t>SUPORTE TIPO  DESCARPACK 20 L</t>
  </si>
  <si>
    <t>SUPORTE TIPO DESCARPACK 3 L</t>
  </si>
  <si>
    <t>SUPORTE TIPO  DESCARPACK 7 L</t>
  </si>
  <si>
    <t>TERMOMETRO CLINICO DIGITAL</t>
  </si>
  <si>
    <t>TESOURA MAYO CURVA 22 CM, CONFECCIONADO EM AÇO EM INOXIDÁVEL</t>
  </si>
  <si>
    <t>TOUCA DESCARTÁVEL</t>
  </si>
  <si>
    <t>Material hospitalar - mandado judicial</t>
  </si>
  <si>
    <t>Cateter Hidroflilico VaPro, 12Fr, 4.0mm, 40cm</t>
  </si>
  <si>
    <t>Cateter Masculino GentleCath Glide n°12</t>
  </si>
  <si>
    <t>Cateter Masculino GentleCath Glide n°10</t>
  </si>
  <si>
    <t>Cateter externo 26x30mm</t>
  </si>
  <si>
    <t>Caixa de luva com 100 unidades, tamanho G, marca Medix</t>
  </si>
  <si>
    <t>BOTA DE UNNA 10,2 X 9,14M</t>
  </si>
  <si>
    <t>SOLUÇÃO AQUOSA DE PHMB PIESANA 350ml</t>
  </si>
  <si>
    <t>Coletor de Urina 2000 ml tipo Sacola com Cordão</t>
  </si>
  <si>
    <t>ATADURA ELASTICA DE BAIXA COMPRESSÃO LINFOPRESS FAMARA - 12x2,7m</t>
  </si>
  <si>
    <t>Rolos</t>
  </si>
  <si>
    <t>Sonda coloplast lubrificada calibre 10 (sonda speedicath navi masculino)</t>
  </si>
  <si>
    <t>Uripen tipo conveen optima de 30mm, coloplast sanfonado com cola</t>
  </si>
  <si>
    <t>Bolsa Coletora de perna 500 ml coloplast de perna</t>
  </si>
  <si>
    <t>Fita reajustável coloplast de perna com velcro</t>
  </si>
  <si>
    <t>COMPRESSA DE GAZE ESTÉRIL NA MEDIDA 15 CM X 30 CM - PACOTE COM 500 UNIDADES</t>
  </si>
  <si>
    <t>CONFEEL CREME BARREIRA 60g</t>
  </si>
  <si>
    <t>ATADURA DE RAYON - ROLO 7,5CMx5M</t>
  </si>
  <si>
    <t>COMPRESSA CIRURGICA ALGODONADA 15 X 60CM</t>
  </si>
  <si>
    <t>Bolsa de cama 1500 ml coloplast</t>
  </si>
  <si>
    <t>Fralda tamanho G marca bigfral</t>
  </si>
  <si>
    <t>Cateter Magic³ Go CH12</t>
  </si>
  <si>
    <t>Absorvente masculino de urina - Pacote com 15 unidades</t>
  </si>
  <si>
    <t>TP COM VALOR DE ISI - KIT C/ 100 TESTES</t>
  </si>
  <si>
    <t>Material Laboratório</t>
  </si>
  <si>
    <t>TTPA ELÁGICO - KIT COM 150 TESTES</t>
  </si>
  <si>
    <t>TESTE DE GRAVIDEZ EM TIRAS - KIT C/ 50 TIRAS</t>
  </si>
  <si>
    <t>KIT HCV</t>
  </si>
  <si>
    <t>SANGUE OCULTO</t>
  </si>
  <si>
    <t>FATOR REUMATÓIDE LATEX - KIT PARA 50 TESTES</t>
  </si>
  <si>
    <t>PCR-REAGENTE</t>
  </si>
  <si>
    <t>ASO-ASLO LATEX 5ML/200DET</t>
  </si>
  <si>
    <t>VDRL - 250 TESTES</t>
  </si>
  <si>
    <t>LE-PESQUISA CELULAS LATEX C/CONTROLE POS+NEG 2,5ML</t>
  </si>
  <si>
    <t>WALLER ROSE</t>
  </si>
  <si>
    <t>BANDAGEN ANTI - SÉPTICA</t>
  </si>
  <si>
    <t>CUBETA P/HUMACLOT CX C/100</t>
  </si>
  <si>
    <t>TUBO CAPILAR EM VIDRO S/HEPARINA</t>
  </si>
  <si>
    <t>TAM</t>
  </si>
  <si>
    <t>AGAR MUELLER HINTON 100ML</t>
  </si>
  <si>
    <t>AGAR MUELLER HINTON150X15MM</t>
  </si>
  <si>
    <t>PLACA DE PETRI 15MM</t>
  </si>
  <si>
    <t>CALDO MUELLER HINTON CAIXA C/10TBS</t>
  </si>
  <si>
    <t>DISCO DE ANTIBIOGRAMA COM 25 DISCOS</t>
  </si>
  <si>
    <t>COM</t>
  </si>
  <si>
    <t>SWAB ESTERIL</t>
  </si>
  <si>
    <t>SWAB HASTE PLASTICA, PONTA DE RAYON, ESTERIL</t>
  </si>
  <si>
    <t>MEIO DE CULTURA RUGAI - MEIO PARA TRIAGEM DE ENTEROBACTERIAS -COM LISINA</t>
  </si>
  <si>
    <t>LAMINOCULTIVO PARA CULTURA DE URINA; LAMINOCULTIVO COMIDENTIFICAÇÃO DIRETA DE E. COLI COM 50</t>
  </si>
  <si>
    <t>ALÇA DE PLATINA</t>
  </si>
  <si>
    <t>STREPTOCOCCUS AGALACTIAE KIT COM 10 UNID.</t>
  </si>
  <si>
    <t>CALDO DE TODD-HEWITT COM 48</t>
  </si>
  <si>
    <t>PYR TESTE COM 24 CONJ.</t>
  </si>
  <si>
    <t>CONJ</t>
  </si>
  <si>
    <t>AGULHA DESC. 25x7MM COM 100 UNIDADES</t>
  </si>
  <si>
    <t>AGULHA DESC. 25x8MM COM 100 UNIDADES</t>
  </si>
  <si>
    <t>AGULHA DESC. 20x5,5MM COM 100 UNIDADES</t>
  </si>
  <si>
    <t>AGULHAS P/ COLETA A VACUO 25X8</t>
  </si>
  <si>
    <t>GUIA PARA COLETA A VACUO</t>
  </si>
  <si>
    <t>SCALP Nº21</t>
  </si>
  <si>
    <t>SCALP Nº23</t>
  </si>
  <si>
    <t>TUBO EDTA 4ML</t>
  </si>
  <si>
    <t>TUBO CITRATO 4ML</t>
  </si>
  <si>
    <t>TUBO FLUORETO 4ML</t>
  </si>
  <si>
    <t>TUBO VÁCUO GEL AMARELO 6ML</t>
  </si>
  <si>
    <t>TUBO VÁCUO GEL AMARELO 8,5ML</t>
  </si>
  <si>
    <t>TUBO PARA VHS</t>
  </si>
  <si>
    <t>PALITO DE SORVETE (PCT C/100 UNIDADES)</t>
  </si>
  <si>
    <t>PALITO ROLIÇO</t>
  </si>
  <si>
    <t>GASE EM ROLO</t>
  </si>
  <si>
    <t>PONTEIRA AZUL</t>
  </si>
  <si>
    <t>PONTEIRA AMARELA</t>
  </si>
  <si>
    <t>PAPEL FILTRO FAIXA AZUL 9CM</t>
  </si>
  <si>
    <t>PAPEL FILTRO GRANDE Nº 103</t>
  </si>
  <si>
    <t>LAMINULAS 18X18</t>
  </si>
  <si>
    <t>LANCETA DESCARTÁVEL PARA PUNÇÃO DIGITAL EM AÇO INOX. BISEL T</t>
  </si>
  <si>
    <t>MÁSCARA DE PROTEÇÃO DE TUBERCULOSE</t>
  </si>
  <si>
    <t>PENEIRA DESCARTÁVEL - 10 CM</t>
  </si>
  <si>
    <t>AVENTAL DESCARTÁVEL EM TNT COM MANGA LONGA</t>
  </si>
  <si>
    <t>REFIL DE COLUNA DE OSMOSE REVERSA</t>
  </si>
  <si>
    <t>PÇ</t>
  </si>
  <si>
    <t>LÂMPADA PARA MICROSCOPIO</t>
  </si>
  <si>
    <t>CRONOMETRO DIGITAL DE MÃO</t>
  </si>
  <si>
    <t>ÓLEO DE IMERSÃO 100 ML</t>
  </si>
  <si>
    <t>TINTURA DE IODO 2% FR C/ 1 LT</t>
  </si>
  <si>
    <t>ÁGUA OXIGENADA 20 VOL</t>
  </si>
  <si>
    <t>DETERGENTE ALCALINO</t>
  </si>
  <si>
    <t>REATIVO DE MEYER</t>
  </si>
  <si>
    <t>POTE COLETOR DE EXAMES TAMPA VERMELHA – ESTERIL - EMBALAGEMINDIVIDUAL - 80ML</t>
  </si>
  <si>
    <t>POTE COLETOR DE EXAMES TAMPA BRANCA – NÃO ESTERIL - EMBALADOINDIVIDUALMENTE - 80ML</t>
  </si>
  <si>
    <t>FUCSINA FENICADA DE ZIEHL NEELSEN 1000ML CD</t>
  </si>
  <si>
    <t>AZUL DE METILENO CONC.P/ZIEHL FR C/1000ML</t>
  </si>
  <si>
    <t>DESCORANTE P/BAAR ZIEHL NEELSEN C/500ML NEWPROV</t>
  </si>
  <si>
    <t>ALCOOL ABSOLUTO</t>
  </si>
  <si>
    <t>SOLUÇÃO DE GLICOSE PARA TOTG 50GR</t>
  </si>
  <si>
    <t>SOLUÇÃO DE GLICOSE PARA TOTG 75GR</t>
  </si>
  <si>
    <t>SORO ANTI-A 10ML</t>
  </si>
  <si>
    <t>SORO ANTI-B 10ML</t>
  </si>
  <si>
    <t>SORO ANTI-D 10ML</t>
  </si>
  <si>
    <t>SORO DE COOMBS</t>
  </si>
  <si>
    <t>ESTANTE DE METAL P/ TUBOS DE ENSAIO 17mm 6X4</t>
  </si>
  <si>
    <t>ESTANTE DE METAL P/ TUBOS DE ENSAIO 17mm 15X6</t>
  </si>
  <si>
    <t>ESTANTE DE METAL P/ TUBOS DE ENSAIO 15 MILIMETROS 12 X 6</t>
  </si>
  <si>
    <t>ESTANTE DE METAL P/TUBOS DE ENSAIO 13 MILIMETROS 15 X 6</t>
  </si>
  <si>
    <t>LÂMINA PARA MICROSCOPIA PONTA FOSCA, BEIRADAS NÃO LAPIDADAS25,4 x 76,2MM (1"x3") ESPESSURA 1MM- CAIXA COM 50 UNIDADES</t>
  </si>
  <si>
    <t>LAMINA DE PONTA LISA</t>
  </si>
  <si>
    <t>LÁPIS DERMATOGRÁFICO</t>
  </si>
  <si>
    <t>LUVA DE LATEX PARA PROCEDIMENTO NÃO ESTERIL – TAMANHO G –CAIXA COM 100 UNIDADES CADA</t>
  </si>
  <si>
    <t>LUVA DE LATEX PARA PROCEDIMENTO NÃO ESTERIL – TAMANHO M –CAIXA COM 100 UNIDADES CADA</t>
  </si>
  <si>
    <t>LUVA DE LATEX PARA PROCEDIMENTO, NÃO ESTERIL – TAMANHO P –CAIXA C/ 100 UNIDADES CADA</t>
  </si>
  <si>
    <t>SERINGA DESCARTAVEL 20ML SLIP</t>
  </si>
  <si>
    <t>SERINGA DESCARTÁVE DE 10ML, BICO CENTRAL, LUER LOCK SEMAGULHA</t>
  </si>
  <si>
    <t>SERINGA HIPODERMICA DESCARTAVEL TIPO SLIP - 5 ML, EMBALADAINDIVIDUALMENTE.</t>
  </si>
  <si>
    <t>SERINGA DESC. 3 ML COM DISPOSITIVO DE SEGURANÇA</t>
  </si>
  <si>
    <t>ALGODÃO HIDROFILO 500g</t>
  </si>
  <si>
    <t>COMPRESSA DE GASES 9 FIOS - 7,5 X 7,5 - 8 DOBRAS</t>
  </si>
  <si>
    <t>ESPARADRAPO IMPERMEAVEL 10CM X 4,5M</t>
  </si>
  <si>
    <t>CAIXA COLETORA DE MATERIAL PERFUROCORTANTE 7 L</t>
  </si>
  <si>
    <t>CAIXA COLETORA MATERIAL PERFURO CORTANTE - 13 LITROS</t>
  </si>
  <si>
    <t>TIRAS URINARIAS (UROFITA 10)</t>
  </si>
  <si>
    <t>Filme de PVC transparente - caixa contendo uma bobina de 28cmx30m.</t>
  </si>
  <si>
    <t>Material odontológico</t>
  </si>
  <si>
    <t>Gorro descartável com elástico - Pacote com 100 unidades</t>
  </si>
  <si>
    <t>LUVA DE LATEX PARA PROCEDIMENTO NAO ESTERIL – TAMANHO PP - caixa contendo 50 pares de luvas de látex anatômicas</t>
  </si>
  <si>
    <t>Luva de procedimento tamanho G - caixa contendo 50 pares de luvas de látex anatômicas.</t>
  </si>
  <si>
    <t>Luva de procedimento tamanho M - caixa contendo 50 pares de luvas de látex anatômicas.</t>
  </si>
  <si>
    <t>Luva de procedimento tamanho P - caixa contendo 50 pares de luvas de látex anatômicas.</t>
  </si>
  <si>
    <t>LUVA NITRILICA SEM PO - TAMANHO P - caixa contendo 50 pares de luva</t>
  </si>
  <si>
    <t>MASCARA DE PROTECAO N95</t>
  </si>
  <si>
    <t>Óculos de proteção individual</t>
  </si>
  <si>
    <t>Protetor Facial do tipo 'anatomico' 'Bolha'</t>
  </si>
  <si>
    <t>Afastador cirúrgico para lábios minesota</t>
  </si>
  <si>
    <t>AGULHA GENGIVAL 30g CURTA (CAIXA C/100 unidades)</t>
  </si>
  <si>
    <t>AGULHA GENGIVAL DESCARTÁVEL 27G LONGA - caixa contendo 100 unidades</t>
  </si>
  <si>
    <t>ALAVANCA APICAL RETA</t>
  </si>
  <si>
    <t>ALAVANCA SELDIN RETA</t>
  </si>
  <si>
    <t>Alça localizador apical</t>
  </si>
  <si>
    <t>Álcool etílico - 92,8% comum, 1 litro.</t>
  </si>
  <si>
    <t>Anestésico 2% Lidocaína com Epinefrina 1:100.000 (caixa com 50 tubetes)</t>
  </si>
  <si>
    <t>Anestésico Lidocaína a 2% sem vasoconstritor - embalagem  de  papel  cartão  com  50  tubetes</t>
  </si>
  <si>
    <t xml:space="preserve">Anestésico Lidocaína a 3% com vasoconstritor - Embalagem  de  papel  cartão  com  50  tubetes </t>
  </si>
  <si>
    <t>ANESTESICO MEPIVACAÍNA A 3% SEM VASOCONSTRITOR -  Caixa  com  50  tubete</t>
  </si>
  <si>
    <t>Anestésico Prilocaína a 3% com vasoconstritor - Caixa com 50 tubetes</t>
  </si>
  <si>
    <t xml:space="preserve">ANESTÉSICO ARTICAÍNA A 4% COM VASO COSNTRUTOR - Embalagem com 50 tubetes </t>
  </si>
  <si>
    <t>ANESTÉSICO TÓPICO GEL 12 GR</t>
  </si>
  <si>
    <t>ALVEOLÓTOMO CURVO</t>
  </si>
  <si>
    <t>BISTURI KIRKLAND</t>
  </si>
  <si>
    <t>Broca carbide cirúrgica nº.701 25mm HL</t>
  </si>
  <si>
    <t>Broca Zekria FG 28mm</t>
  </si>
  <si>
    <t>Cabo para Bisturo 03 - em aço inoxidável</t>
  </si>
  <si>
    <t>CABO PARA BISTURI LÂMINA DUPLA</t>
  </si>
  <si>
    <t>Campos cirúrgicos descartáveis (jogo)</t>
  </si>
  <si>
    <t>Jogo</t>
  </si>
  <si>
    <t>Cimento cirúrgico - Pó e Líquido - frasco contendo 20 ml</t>
  </si>
  <si>
    <t>Coletor de material perfurocortante, com capacidade para 7L</t>
  </si>
  <si>
    <t>COMPRESSA DE GAZE HIDRÓFILA -13 Fios- 08 DOBRAS - pacote com 200 unidades</t>
  </si>
  <si>
    <t>Curativo alveolar com própolis.</t>
  </si>
  <si>
    <t>Cureta Lucas nº 85</t>
  </si>
  <si>
    <t>Cureta Lucas nº 87</t>
  </si>
  <si>
    <t>Descolador de Periósteo Freer 15.</t>
  </si>
  <si>
    <t>Descolador periósteo Molt nº 02.</t>
  </si>
  <si>
    <t>Esponja hemostática - caixa com 10 unidades.</t>
  </si>
  <si>
    <t>Fio de sutura agulhado (seção triangular) nylon 3-0 - caixa com  24  envelopes</t>
  </si>
  <si>
    <t>Fio de sutura agulhado (seção triangular) nylon 4-0 - caixa com  24  envelopes</t>
  </si>
  <si>
    <t>Fio de sutura agulhado (seção triangular) nylon 5-0 - caixa com  24  envelopes</t>
  </si>
  <si>
    <t>Fio de sutura agulhado (seção triangular) nylon 6-0 - caixa com  24  envelopes - agulha 20mm - 3/8  círculo</t>
  </si>
  <si>
    <t>Fio de sutura agulhado (seção triangular) nylon 6-0 - caixa com  24  envelopes - agulha 20mm - 1/2  círculo</t>
  </si>
  <si>
    <t>LÂMINA PARA BISTURI N°11 - Caixa com 100 unidades</t>
  </si>
  <si>
    <t>LÂMINA DE BISTURI Nº15 - CAIXA COM 100 UNIDADES</t>
  </si>
  <si>
    <t>LÂMINA DE BISTURI Nº15 C - CAIXA COM 100 UNIDADES</t>
  </si>
  <si>
    <t>Lima Seldin para osso</t>
  </si>
  <si>
    <t>LUVA CIRÚRGICA DE LATEX ESTÉRIL Nº 6,5</t>
  </si>
  <si>
    <t>Luva cirúrgica estéril 7,0.</t>
  </si>
  <si>
    <t>Luva cirúrgica estéril 8,0.</t>
  </si>
  <si>
    <t>PINÇA ALLIS</t>
  </si>
  <si>
    <t>PINÇA DENTE DE RATO</t>
  </si>
  <si>
    <t>Pinça Kelly curva</t>
  </si>
  <si>
    <t>Pinça Kelly reta</t>
  </si>
  <si>
    <t>Pinça mosquito curva</t>
  </si>
  <si>
    <t>Pinça mosquito reta</t>
  </si>
  <si>
    <t>PINÇA PORTA GRAMPO PALMER</t>
  </si>
  <si>
    <t>PINÇA STEVENS 14CM CURVA COM DENTE</t>
  </si>
  <si>
    <t>PINÇA STEVENS 1x2 DENTES GOLGRAN</t>
  </si>
  <si>
    <t>Porta agulha Castro- Viejo 14 cm</t>
  </si>
  <si>
    <t>PORTA - AGULHA MATIE</t>
  </si>
  <si>
    <t>Porta agulha Mayo 15 cm.</t>
  </si>
  <si>
    <t>Sindesmótomo.</t>
  </si>
  <si>
    <t>SUGADOR CIRÚRGICO DESCARTÁVEL - caixa com 20 unidades.</t>
  </si>
  <si>
    <t>Tesoura Castroviejo reta</t>
  </si>
  <si>
    <t>Tesoura cirúrgica reta 15cm</t>
  </si>
  <si>
    <t>TESOURA CURVA CASTRO VIEJO</t>
  </si>
  <si>
    <t>TESOURA IRIS RETA 12 CM - AÇO INOX</t>
  </si>
  <si>
    <t>Tesoura spencer</t>
  </si>
  <si>
    <t>Agente de União Foto-Ativado 5,6 ml</t>
  </si>
  <si>
    <t>Algodão - Embalagem com 500g - fibra natural selecionada - isento deimpurezas, tratamento especial nas fibras, 100% alg</t>
  </si>
  <si>
    <t>APLICADOR DESCARTÁVEL MICROBUSCH 1,5 MM - EMBALAGEM  DE  PAPEL  CARTÃO  CONTENDO  100  UNIDADES</t>
  </si>
  <si>
    <t>APLICADOR DESCARTÁVEL MICROBUSCH 2,0 MM - EMBALAGEM  DE  PAPEL  CARTÃO  CONTENDO  100  UNIDADES</t>
  </si>
  <si>
    <t>AVENTAL DESCARTÁVEL MANGA LONGA - Pacote com 10 unidades</t>
  </si>
  <si>
    <t>Babador Plástico adulto</t>
  </si>
  <si>
    <t>Banda matriz - espessura  0,05mm,  largura  7mm,comprimento 500mm</t>
  </si>
  <si>
    <t>Banda matriz - espessura  0,05mm,  largura  5mm,comprimento 500mm</t>
  </si>
  <si>
    <t>BLOCOS DE PAPEL PARA ESPATULAÇÃO PEQUENO</t>
  </si>
  <si>
    <t>Bloco</t>
  </si>
  <si>
    <t>BROCA P DIAMANTADA ALTA ROTAÇÃO 1011 - AÇO INOXIDAVEL</t>
  </si>
  <si>
    <t>BROCA P DIAMANTADA ALTA ROTAÇÃO 1011 HL - HASTE LONGA - AÇO INOX</t>
  </si>
  <si>
    <t>BROCA P DIAMANTADA ALTA ROTAÇÃO 1012 - DOURADA - AÇO INOXIDA</t>
  </si>
  <si>
    <t>Broca P Diamantada alta rotação 1012 HL - Haste Longa - aço inoxidável</t>
  </si>
  <si>
    <t>BROCA P DIAMANTADA ALTA ROTAÇÃO 1013 - AÇO INOXIDAVEL</t>
  </si>
  <si>
    <t>Broca P. Diamantada alta rotação 1013 HL</t>
  </si>
  <si>
    <t>BROCA P DIAMANTADA ALTA ROTAÇÃO 1014 - AÇO INOXIDAVEL</t>
  </si>
  <si>
    <t>Broca P Diamantada alta rotação 1014HL - Haste Longa - aço inoxidável.</t>
  </si>
  <si>
    <t>BROCA P DIAMANTADA ALTA ROTAÇÃO 1015 - AÇO INOXIDAVEL</t>
  </si>
  <si>
    <t>BROCA P. DIAMANTADA ALTA ROTAÇÃO 1015 HL</t>
  </si>
  <si>
    <t>BROCA P DIAMANTADA ALTA ROTAÇÃO 1016 - AÇO INOXIDAVEL</t>
  </si>
  <si>
    <t>Broca P Diamantada alta rotação 1016HL - Haste Longa - aço inoxidável.</t>
  </si>
  <si>
    <t>BROCA P. DIAMANTADA ALTA ROTAÇÃO 1019</t>
  </si>
  <si>
    <t>BROCA P DIAMANTADA ALTA ROTAÇÃO 1019 HL - HASTE LONGA - AÇO</t>
  </si>
  <si>
    <t>Broca P Diamantada alta rotação 1024 - aço inoxidável.</t>
  </si>
  <si>
    <t>Broca P. Diamantada alta rotação 1031.</t>
  </si>
  <si>
    <t>Broca P Diamantada alta rotação 1032 - aço inoxidável.</t>
  </si>
  <si>
    <t>BROCA P. DIAMANTADA ALTA ROTAÇÃO 1033 - AÇO INOXIDAVEL</t>
  </si>
  <si>
    <t>Broca P Diamantada alta rotação 1034 - aço inoxidável.</t>
  </si>
  <si>
    <t>BROCA P. DIAMANTADA ALTA ROTAÇÃO 1035 - AÇO INOXIDÁVEL.</t>
  </si>
  <si>
    <t>Broca P. Diamantada alta rotação 1045.</t>
  </si>
  <si>
    <t>Broca P. Diamantada alta rotação 1046.</t>
  </si>
  <si>
    <t>Broca P. Diamantada alta rotação 1062.</t>
  </si>
  <si>
    <t>Broca P. Diamantada alta rotação 1065.</t>
  </si>
  <si>
    <t>Broca P. Diamantada alta rotação 1090.</t>
  </si>
  <si>
    <t>Broca P. Diamantada alta rotação 1090 FF</t>
  </si>
  <si>
    <t>BROCA P. DIAMANTADA ALTA ROTAÇÃO 1091</t>
  </si>
  <si>
    <t>Broca P. Diamantada alta rotação 1092 - dourada.</t>
  </si>
  <si>
    <t>Broca P. Diamantada alta rotação 1093 - Dourada.</t>
  </si>
  <si>
    <t>Broca P Diamantada alta rotação 1093 FF - Dourada - aço inoxidável.</t>
  </si>
  <si>
    <t>Broca P. Diamantada alta rotação 1094</t>
  </si>
  <si>
    <t>Broca P. Diamantada alta rotação 1095</t>
  </si>
  <si>
    <t>BROCA P. DIAMANTADA ALTA ROTAÇÃO 1111</t>
  </si>
  <si>
    <t>Broca P. Diamantada alta rotação 1112.</t>
  </si>
  <si>
    <t>Broca P. Diamantada alta rotação 1112FF - Dourada.</t>
  </si>
  <si>
    <t>BROCA P. DIAMANTADA ALTA ROTAÇÃO 1190 F - DOURADA - AÇO INOXIDÁVEL.</t>
  </si>
  <si>
    <t>Broca P. Diamantada alta rotação 1190FF - Dourada.</t>
  </si>
  <si>
    <t>Broca P. Diamantada alta rotação 1302</t>
  </si>
  <si>
    <t>Broca P. Diamantada alta rotação 2135 - Dourada.</t>
  </si>
  <si>
    <t>Broca P Diamantada alta rotação 2135 F - Dourada - aço inoxidável.</t>
  </si>
  <si>
    <t>Broca P Diamantada alta rotação 2135 FF - Dourada - aço inoxidável</t>
  </si>
  <si>
    <t>Broca P. Diamantada alta rotação 2200.</t>
  </si>
  <si>
    <t>Broca P. Diamantada alta rotação 3070.</t>
  </si>
  <si>
    <t>Broca P. Diamantada alta rotação 3071.</t>
  </si>
  <si>
    <t>BROCA P. DIAMANTADA ALTA ROTAÇÃO 3082</t>
  </si>
  <si>
    <t>BROCA P. DIAMANTADA ALTA ROTAÇÃO 3083</t>
  </si>
  <si>
    <t>BROCA P. DIAMANTADA ALTA ROTAÇÃO 3118</t>
  </si>
  <si>
    <t>BROCA P. DIAMANTADA ALTA ROTAÇÃO 3118 F - DOURADA - AÇO INOXIDÁVEL.</t>
  </si>
  <si>
    <t>Broca P. Diamantada alta rotação 3118FF - Dourada.</t>
  </si>
  <si>
    <t>BROCA P. DIAMANTADA ALTA ROTAÇÃO 3168 - AÇO INOXIDÁVEL.</t>
  </si>
  <si>
    <t>BROCA P. DIAMANTADA ALTA ROTAÇÃO 3168 F - DOURADA - AÇO INOXIDÁVEL.</t>
  </si>
  <si>
    <t>Broca P. Diamantada alta rotação 3168 FF.</t>
  </si>
  <si>
    <t>Broca P. Diamantada alta rotação 3195 - Dourada.</t>
  </si>
  <si>
    <t>Broca P. Diamantada alta rotação 3195 F.</t>
  </si>
  <si>
    <t>Broca P. Diamantada alta rotação 3195 FF.</t>
  </si>
  <si>
    <t>Broca Shofú Chama de Vela - Branca. Apresentação: blister com 01 unidade, abrasivos dentais para fino acabamento.</t>
  </si>
  <si>
    <t>Broca Shofú Esférica - Branca. Apresentação: blister com 01 unidade, abrasivos dentais para fino acabamento.</t>
  </si>
  <si>
    <t>BROQUEIRO DE 24 FUROS</t>
  </si>
  <si>
    <t>Cabo de espelho.</t>
  </si>
  <si>
    <t>CARBONO DUPLA FACE PARA ARTICULAÇÃO E REGISTRO DE OCLUSÃO</t>
  </si>
  <si>
    <t>CIMENTO DE FOSFATO DE ZINCO KIT</t>
  </si>
  <si>
    <t>Condicionador ácido gel 37% - embalagem  contendo  03  seringas  com  2,5ml  a  5  ml  cada.</t>
  </si>
  <si>
    <t>Cone para polimento - feltro, nº 02.</t>
  </si>
  <si>
    <t>Cone para polimento - feltro, nº 03.</t>
  </si>
  <si>
    <t>Escova dental adulto.</t>
  </si>
  <si>
    <t>ESPÁTULA DE INSERÇÃO PARA RESTAURAÇÃO DE RESINA - AÇO INOX, SENSÍVEIS A SOLUÇÃO CLORADA - AUTOCLAVÁVEL</t>
  </si>
  <si>
    <t>Espelho bucal plano nº 05. Autoclavável.</t>
  </si>
  <si>
    <t>Forrador de cavidades ou verniz cavitário.</t>
  </si>
  <si>
    <t>Hidróxido de cálcio P.A.</t>
  </si>
  <si>
    <t>Hidróxido de Cálcio Radiopaco</t>
  </si>
  <si>
    <t>Conjunto</t>
  </si>
  <si>
    <t>IONOMERO DE VIDRO, RESTAURAÇÃO, AUTOPOLIMERIZÁVEL.</t>
  </si>
  <si>
    <t>Ionômero de Vidro. Kit</t>
  </si>
  <si>
    <t>Lixa de aço 4mm - embalagem com 12 unidades</t>
  </si>
  <si>
    <t>Lixa de aço 6mm - embalagem com 12 unidades</t>
  </si>
  <si>
    <t>Material Restaurador intermediário (Líquido)</t>
  </si>
  <si>
    <t>Material Restaurador intermediário (Pó)</t>
  </si>
  <si>
    <t>Matriz de poliéster - pacote com 50 unidades</t>
  </si>
  <si>
    <t>Papel Carbono para Articulação</t>
  </si>
  <si>
    <t>Pinça clínica.</t>
  </si>
  <si>
    <t>PONTAS PARA ACABAMENTO DE RESINA EM SILICONE - Embalagem com 08 unidades + mandril</t>
  </si>
  <si>
    <t>Porta matriz - embalagem contendo cinco unidades.</t>
  </si>
  <si>
    <t>RESINA FOTOPOLIMERIZÁVEL FLOW A3</t>
  </si>
  <si>
    <t>Resina fotopolimerizável para dentes anteriores A1.</t>
  </si>
  <si>
    <t>Resina fotopolimerizável para dentes anteriores A2.</t>
  </si>
  <si>
    <t>Resina fotopolimerizável para dentes anteriores A3.</t>
  </si>
  <si>
    <t>Resina fotopolimerizável para dentes anteriores A3,5.</t>
  </si>
  <si>
    <t>RESINA FOTOPOLIMERIZAVEL PARA DENTES ANTERIORES B1</t>
  </si>
  <si>
    <t xml:space="preserve">Resina fotopolimerizável para dentes anteriores B2. Apresentação: embalagem com uma unidade. Composição: BIS-GMA (TEGDMA) zircônia-silica - Z 100. </t>
  </si>
  <si>
    <t xml:space="preserve">Resina fotopolimerizável para dentes anteriores B3. Apresentação: embalagem com uma unidade. Composição: BIS-GMA (TEGDMA) zircônia-silica - Z 100. </t>
  </si>
  <si>
    <t xml:space="preserve">Resina fotopolimerizável para dentes anteriores C2. Apresentação: embalagem com uma unidade. Composição: BIS-GMA (TEGDMA) zircônia-silica - Z 100. </t>
  </si>
  <si>
    <t xml:space="preserve">Resina fotopolimerizável para dentes anteriores C4. Apresentação: embalagem com uma unidade. Composição: BIS-GMA (TEGDMA) zircônia-silica - Z 100. </t>
  </si>
  <si>
    <t>Roletes de algodão. Apresentação: pacote com 100 unidades.</t>
  </si>
  <si>
    <t>Selante para fóssulas e fissuras fotopolimerizável. Apresentação: embalagem contendo 01 seringa com 2g; 05 ponteiras de aplicação.</t>
  </si>
  <si>
    <t>KIT PARA ACABAMENTO E POLIMENTO DE RESINA ENHANCE</t>
  </si>
  <si>
    <t xml:space="preserve">Sugador atóxico descartável. Apresentação: pacote com 40 unidades. </t>
  </si>
  <si>
    <t>TAÇA DE BORRACHA CA BRANCA PARA PROFILAXIA</t>
  </si>
  <si>
    <t xml:space="preserve">Tira de poliéster para superfície proximais de restaurações realizadas com resina e ionômero de vidro. </t>
  </si>
  <si>
    <t xml:space="preserve">Tiras de lixa para acabamento e polimento - Pacote com 150 tiras. </t>
  </si>
  <si>
    <t>Vaselina sólida 250g.</t>
  </si>
  <si>
    <t xml:space="preserve">Detergente enzimático. Apresentação: 01 litro. </t>
  </si>
  <si>
    <t>DESINFETANTE AMONIA QUATERNARIA FRASCO DE 1000ML</t>
  </si>
  <si>
    <t>ARCO DE OSTBY</t>
  </si>
  <si>
    <t>BARREIRA GENGIVAL FOTOPOLIMERIZÁVEL</t>
  </si>
  <si>
    <t>Broca Endo Z FG Alta Rotação 24,5mm</t>
  </si>
  <si>
    <t>BROCA DE GATES GLIDDEN 28MM Nº 02 - KIT COM 6 UNIDADES</t>
  </si>
  <si>
    <t>BROCA DE GATES GLIDDEN 28MM Nº 03 - KIT COM 6 UNIDADES</t>
  </si>
  <si>
    <t>BROCA DE GATES GLIDDEN 28MM Nº 04 - KIT COM 6 UNIDADES</t>
  </si>
  <si>
    <t>Calcador de paiva. Apresentação: embalagem com 4 unidades</t>
  </si>
  <si>
    <t>CIMENTO ENDODÔNTICO COM MTA - Embalagem  com  01  seringa  de  4g  +  15  pontas  de automistura + 01 bloco de espatulação.</t>
  </si>
  <si>
    <t>CIMENTO REPARADOR MTA BRANCO - Embalagem  com 2 doses de MTA-Branco, 0,28g de MTA Branco, 3 ml de água destilada</t>
  </si>
  <si>
    <t>Cimento endodôntico para obturação de canal radicular – Líquido</t>
  </si>
  <si>
    <t>Cimento endodôntico para obturação de canal radicular. Pó</t>
  </si>
  <si>
    <t>Cimento obturador provisório - pote com 20 gramas.</t>
  </si>
  <si>
    <t>CONDENSADOR DE GUTA PERCHA MCSPADDEN 25MM N°40-4 - KIT COM 4 UNIDADES</t>
  </si>
  <si>
    <t>CONDENSADOR DE GUTA PERCHA MCSPADDEN 25MM N°60-4 - KIT COM 4 UNIDADES</t>
  </si>
  <si>
    <t>CLOREXIDINA GEL 2% - Embalagem com 02 seringas de 3g.</t>
  </si>
  <si>
    <t>CONE GUTA PERCHA PROTAPER F1 - Embalagem com 60 unidades</t>
  </si>
  <si>
    <t>CONE GUTA PERCHA PROTAPER F2 - Embalagem com 60 unidades</t>
  </si>
  <si>
    <t>CONE GUTA PERCHA PROTAPER F3 - Embalagem com 60 unidades</t>
  </si>
  <si>
    <t>CONE GUTA PERCHA PROTAPER F4 - Embalagem com 60 unidades</t>
  </si>
  <si>
    <t>CONE GUTA PERCHA PROTAPER F5 - Embalagem com 60 unidades</t>
  </si>
  <si>
    <t>CONE GUTA PERCHA RECIPROCANTE R25 - Embalagem com 60 unidades</t>
  </si>
  <si>
    <t>CONE GUTA PERCHA RECIPROCANTE R40 - Embalagem com 60 unidades</t>
  </si>
  <si>
    <t>Cone Principal 1º. Série nos nº 15/40 - Apresentação: Embalagem com 120 unidades.</t>
  </si>
  <si>
    <t>Cone Principal 2º. Série nos nº 45/80 - Apresentação: Embalagem com 120 unidades.</t>
  </si>
  <si>
    <t xml:space="preserve">Cone Secundário R7 - Embalagem com 120 unidades. </t>
  </si>
  <si>
    <t>CONE SECUNDARIO DE GUTA - PERCHA M 32mm - embalagem contendo 120 pontas</t>
  </si>
  <si>
    <t xml:space="preserve">CONE SECUNDÁRIO DE GUTA PERCHA M 34MM - embalagem contendo 120 pontas </t>
  </si>
  <si>
    <t>Cone secundário de guta percha FM. Apresentação: cx. contendo 120 pontas 28mm roladas a mão. Composição: óxido de zinco</t>
  </si>
  <si>
    <t>Conjunto de aspiração endodôntica. Apresentação: conjunto com uma cânula e 03 agulhas sem bisel nos diâmetros 2mm, 1,5mm, 1mm, cânula com engate sem rosca.</t>
  </si>
  <si>
    <t>E.D.T.A. - AGENTE QUELANTE TRISSÓDICO 17%</t>
  </si>
  <si>
    <t>Endo PTC</t>
  </si>
  <si>
    <t>Espaçador digital cônico 25mm.</t>
  </si>
  <si>
    <t>Eucaliptol (solvente de gutta percha).</t>
  </si>
  <si>
    <t>Eugenol.</t>
  </si>
  <si>
    <t>Espelho Bucal Primeiro Plano n°05</t>
  </si>
  <si>
    <t>EXPLORADOR ENDODÔNTICO CURVO</t>
  </si>
  <si>
    <t>Explorador endodôntico reto.</t>
  </si>
  <si>
    <t>Formocresol.</t>
  </si>
  <si>
    <t>Grampo para isolamento nº 201.</t>
  </si>
  <si>
    <t>Grampo para isolamento nº 12A</t>
  </si>
  <si>
    <t>Grampo para isolamento nº 13A</t>
  </si>
  <si>
    <t>Grampo para isolamento nº 207</t>
  </si>
  <si>
    <t>Grampo para isolamento nº 208</t>
  </si>
  <si>
    <t>Grampo para isolamento nº 211</t>
  </si>
  <si>
    <t>KIT HIDRÓXIDO DE CÁLCIO EM SERINGA</t>
  </si>
  <si>
    <t>HIPOCLORITO DE SÓDIO - frasco contendo 1 lt</t>
  </si>
  <si>
    <t xml:space="preserve">IODOFÓRMIO - VIDRO COM 10G </t>
  </si>
  <si>
    <t xml:space="preserve">Lençol de borracha. Apresentação: caixa com 26 unidades - 13,5cm x 13,5cm. </t>
  </si>
  <si>
    <t>LIMA ENDODÔNTICA 21MM TIPO HEDSTRON DE 15/40 1ª. SÉRIE - LIMA MANUAIS AÇO INOX DIN 1.4310, ELETRO-POLIDAS E USINADAS</t>
  </si>
  <si>
    <t>LIMA FLEXOFILE 21MM, 1ªSÉRIE 15-40</t>
  </si>
  <si>
    <t>LIMA FLEXOFILE 25MM, 1ª SÉRIE 15-40</t>
  </si>
  <si>
    <t>LIMA FLEXOFILE 31MM, 1ª SÉRIE 15-40</t>
  </si>
  <si>
    <t>Lima Endodôntica 21mm tipo Hedstron de 45/80 2º série. Apresentação: caixa contendo 06 unidades em cores diversas.</t>
  </si>
  <si>
    <t>LIMA ENDODÔNTICA 21MM TIPO KERR DE 15/40 1ª. SÉRIE - LIMA MANUAIS AÇO INOX DIN 1.4310 ELETRO-POLIDAS E USINADAS</t>
  </si>
  <si>
    <t>LIMA ENDODÔNTICA 21MM TIPO KERR DE 10 - LIMA MANUAIS AÇO INOX DIN 1.4310 ELETRO-POLIDAS E USINADAS</t>
  </si>
  <si>
    <t>LIMA ENDODÔNTICA 21MM TIPO KERR DE 15 - LIMA MANUAIS AÇO INOX DIN 1.4310 ELETRO-POLIDAS E USINADAS</t>
  </si>
  <si>
    <t xml:space="preserve">Lima Endodôntica 21 mm, tipo Kerr nº. 06. Apresentação: Cx. Contendo 06 unidades. </t>
  </si>
  <si>
    <t>Lima Endodôntica 21 mm, tipo Kerr nº. 08. Apresentação: Cx. Contendo 06 unidades.</t>
  </si>
  <si>
    <t xml:space="preserve">Lima Endodôntica 25mm tipo Hedstron 15/40 1º série. Apresentação: caixa contendo 06 unidades em cores diversas. </t>
  </si>
  <si>
    <t xml:space="preserve">Lima Endodôntica 25mm tipo Hedstron de 45/80 2º série. Apresentação: caixa contendo 06 unidades em cores diversas. </t>
  </si>
  <si>
    <t>Lima Endodôntica 25 mm tipo Hedstron nº15 - Apresentação: Cx. Contendo 06 unidades em cores diversas.</t>
  </si>
  <si>
    <t xml:space="preserve">Lima Endodôntica 25mm tipo Kerr de 15/40 1º série. Apresentação: caixa contendo 06 unidades em cores diversas. </t>
  </si>
  <si>
    <t xml:space="preserve">Lima Endodôntica 25 mm, tipo Kerr nº. 06. Apresentação: Cx. Contendo 06 unidades. </t>
  </si>
  <si>
    <t xml:space="preserve">Lima Endodôntica 25 mm, tipo Kerr nº. 08. Apresentação: Cx. Contendo 06 unidades. </t>
  </si>
  <si>
    <t>LIMA ENDODÔNTICA 25MM TIPO KERR DE 10 - LIMA MANUAIS AÇO INOX DIN 1.4310 ELETRO-POLIDAS E USINADAS</t>
  </si>
  <si>
    <t>LIMA ENDODÔNTICA 25MM TIPO KERR DE 15 - LIMA MANUAIS AÇO INOX DIN 1.4310 ELETRO-POLIDAS E USINADAS</t>
  </si>
  <si>
    <t xml:space="preserve">Lima Endodôntica 25 mm, tipo Kerr nº. 30 - Apresentação: Cx. Contendo 06 unidades. </t>
  </si>
  <si>
    <t>LIMA ENDODÔNTICA 31MM TIPO HEDSTRON DE 15/40 1ª. SÉRIE - LIMA MANUAIS AÇO INOX DIN 1.4310 ELETRO-POLIDAS E USINADAS</t>
  </si>
  <si>
    <t xml:space="preserve">Lima Endodôntica 31mm tipo Hedstron de 45/80 2ºsérie. Apresentação: caixa contendo 06 unidades em cores diversas. </t>
  </si>
  <si>
    <t>LIMA ENDODÔNTICA 31MM TIPO KERR DE 15/40 1ª. SÉRIE - LIMA MANUAIS AÇO INOX DIN 1.4310 ELETRO-POLIDAS E USINADAS</t>
  </si>
  <si>
    <t xml:space="preserve">Lima Endodôntica 31 mm, tipo Kerr nº. 06. Apresentação: Cx. Contendo 06 unidades. </t>
  </si>
  <si>
    <t xml:space="preserve">Lima Endodôntica 31 mm, tipo Kerr nº. 08. Apresentação: Cx. Contendo 06 unidades. </t>
  </si>
  <si>
    <t>LIMA ENDODÔNTICA 31MM TIPO KERR DE 10 - LIMA MANUAIS AÇO INOX DIN 1.4310 ELETRO-POLIDAS E USINADAS</t>
  </si>
  <si>
    <t>LIMA ENDODÔNTICA 31MM TIPO KERR n° 15 - Caixa contendo 06 unidades, em cores diversas.</t>
  </si>
  <si>
    <t xml:space="preserve">Lima Endodôntica 31 mm, tipo Kerr nº. 30. Apresentação: Cx.Contendo 06 unidades. </t>
  </si>
  <si>
    <t>Lima Endodontica Reciprocante 25.08 21mm - Caixa  contendo 4 unidades</t>
  </si>
  <si>
    <t>Lima Endodontica Reciprocante 25.08 25mm - Caixa contendo 4 unidades</t>
  </si>
  <si>
    <t>Lima Endodontica Rotatória Reiciprocante 25.08 31mm - Caixa contendo 4 unidades</t>
  </si>
  <si>
    <t>Lima Reciprocante Blue NITI 25.08 21mm - Embalagem com 4 unidades</t>
  </si>
  <si>
    <t>Lima Reciprocante Blue NITI 25.08 25mm - Embalagem com 4 unidades</t>
  </si>
  <si>
    <t>Lima Reciprocante Blue NITI 25.08 31mm - Embalagem com 4 unidades</t>
  </si>
  <si>
    <t>Lima Reciprocante Blue NITI 40.06 21mm - Embalagem com 4 unidades</t>
  </si>
  <si>
    <t>Lima Reciprocante Blue NITI 40.06 25mm - Embalagem com 4 unidades</t>
  </si>
  <si>
    <t>Lima Reciprocante Blue NITI 40.06 31mm - Embalagem com 4 unidades</t>
  </si>
  <si>
    <t xml:space="preserve">LIMA ROTATORIA 17 21MM T-FILE - Blister Com 6 UNIDADES </t>
  </si>
  <si>
    <t xml:space="preserve">LIMA ROTATORIA 17 25MM T-FILE - Blister Com 6 UNIDADES </t>
  </si>
  <si>
    <t>Lima endodôntica rotatória pro-taper 21 mm. Apresentação: Embalagem com kit de 06 unidades (S1, S2, F1, F2, F3, SX)</t>
  </si>
  <si>
    <t xml:space="preserve">Lima endodôntica rotatória pro taper 25mm. Apresentação: embalagem com 06 unidades ( S1, S2, F1, F2, F3, SX) </t>
  </si>
  <si>
    <t>LIMA ENDODÔNTICA ROTATÓRIA PRO TAPER 31mm - Apresentação: embalagem com kit de 06 unidades (S, S2,F1,  F2,  F3,  SX)</t>
  </si>
  <si>
    <t>LIMA ENDODÔNTICA ROTATORIA PRO TAPER - 21 MM - EMBALAGEM COM 06 UNIDADES</t>
  </si>
  <si>
    <t>LIMA ENDODÔNTICA ROTATORIA PRO TAPER - 25 - EMBALAGEM COM 06 UNIDADES</t>
  </si>
  <si>
    <t>LIMA ENDODÔNTICA ROTATORIA PRO TAPER - 31 MM - EMBALAGEM COM 06 UNIDADES</t>
  </si>
  <si>
    <t>LIMA ENDODÔNTICA ROTATORIA PRO TAPER F4 -21 MM - EMBALAGEM COM 06 UNIDADES</t>
  </si>
  <si>
    <t>LIMA ENDODÔNTICA ROTATORIA PRO TAPER F4  - 25 MM - EMBALAGEM COM 06 UNIDADES</t>
  </si>
  <si>
    <t>LIMA ENDODÔNTICA ROTATORIA PRO TAPER F4 -31 MM - EMBALAGEM COM 06 UNIDADES</t>
  </si>
  <si>
    <t>LIMA ENDODÔNTICA ROTATORIA PRO TAPER F5 - 21 MM - EMBALAGEM COM 06 UNIDADES</t>
  </si>
  <si>
    <t>LIMA ENDODÔNTICA ROTATORIA PRO TAPER F5 -25 MM - EMBALAGEM COM 06 UNIDADES</t>
  </si>
  <si>
    <t>LIMA ENDODÔNTICA ROTATORIA PRO TAPER F5-31 MM - EMBALAGEM COM 06 UNIDADES</t>
  </si>
  <si>
    <t>Líquido de Dakin. Apresentação: frasco plástico contendo 1 litro</t>
  </si>
  <si>
    <t>NAVI TIPS 27mm - Verde 30G, 27 mm, com 20 unidades</t>
  </si>
  <si>
    <t>NDP Solução endodôntica - fórmula e ação. Apresentação: caixa com 5 tubetes plásticos com 1ml cada.</t>
  </si>
  <si>
    <t>Óxido de zinco.</t>
  </si>
  <si>
    <t>PARAMONOCLOROFENOL</t>
  </si>
  <si>
    <t>PASTA DE HIDROXIDO DE CALCO CALEN COM PMCC -  Kit  com  2 tubos de pasta Calen de 2,7g e 2 tubos deglicerina 2,2g.</t>
  </si>
  <si>
    <t xml:space="preserve">Ponta de Guta - Percha Pro 04 15/40 – 1ªsérie. Apresentação: embalagem com 60 unidades </t>
  </si>
  <si>
    <t xml:space="preserve">Ponta de Guta - Percha Pro 04 Nº.45/80. Apresentação: embalagem com 60 unidades </t>
  </si>
  <si>
    <t>Ponta de Guta - Percha Pro 06 Nº.45/80. Apresentação: embalagem com 60 unidades</t>
  </si>
  <si>
    <t>Ponta de Guta - Percha ACESSÓRIO R7 - Apresentação: embalagem com 60 unidades.</t>
  </si>
  <si>
    <t>Ponta de Guta - Percha ACESSÒRIO R8 - Apresentação: embalagem com 60 unidades.</t>
  </si>
  <si>
    <t>Ponta de Guta - Percha 1ª SÉRIE 15/40 - Apresentação: embalagem com 60 unidades.</t>
  </si>
  <si>
    <t>Ponta de Guta - Percha 2ª SÉRIE 45/80 - Apresentação: embalagem com 60 unidades.</t>
  </si>
  <si>
    <t>PONTA DE PAPEL ABSORVENTE DE 15/40 CELL PACK ESTERILIZADAS</t>
  </si>
  <si>
    <t xml:space="preserve">Ponta de Papel Absorvente Nº. 45/80,– Apresentação: Cxcontendo 120 pontas roladas uniformemente. 1º . série </t>
  </si>
  <si>
    <t xml:space="preserve">Ponta de papel absorvente R25. CELL PACK ESTERILIZADAS - Apresentação: caixa contendo 120 pontas roladas uniformemente. </t>
  </si>
  <si>
    <t xml:space="preserve">Ponta de papel absorvente R40 CELL PACK ESTERILIZADAS - Apresentação: caixa contendo 120 pontas roladas uniformemente. </t>
  </si>
  <si>
    <t>PONTAS DE PAPEL PROTAPER F1 CELL PACK ESTERILIZADAS - Apresentação: embalagem com 72 pontas 28mm.</t>
  </si>
  <si>
    <t>PONTAS DE PAPEL PROTAPER F2 CELL PACK ESTERILIZADAS - embalagem com 72 pontas 28mm</t>
  </si>
  <si>
    <t>Pontas de papel protaper F3 - CELL PACK ESTERILIZADAS - embalagem com 72 pontas 28mm</t>
  </si>
  <si>
    <t>POSICIONADOR RADIOGRÁFICO ENDODÔNTICO</t>
  </si>
  <si>
    <t>Posicionador de RX infantil autoclavavel</t>
  </si>
  <si>
    <t>Réguas de endodontia milimetrada.</t>
  </si>
  <si>
    <t>Réguas de endodontia milimetrada calibradora</t>
  </si>
  <si>
    <t>SERINGA DESCARTÁVEL 10ml</t>
  </si>
  <si>
    <t>SERINGA ENDODÔNTICA DUFLEX PARA CALEN</t>
  </si>
  <si>
    <t>SOLUÇÃO DE MILTON</t>
  </si>
  <si>
    <t>Teste de Sensibilidade Gás Refrigerante</t>
  </si>
  <si>
    <t>Embalagem plástica para esterilização de instrumental grau cirúrgico 15cm x 25cm - com fita selante pct com 200 unidades</t>
  </si>
  <si>
    <t>Embalagem plástica para esterilização de instrumental graucirúrgico 19cmx33cm , auto selante. APRESENTAÇÃO: pacote com 200 envelopes</t>
  </si>
  <si>
    <t>Embalagem plástica para esterilização de instrumental grau cirúrgico, 5,5cm x 13cm, auto-selante, pct com 200 unidades envelopes.</t>
  </si>
  <si>
    <t>ESCOVA DE AÇO PARA LIMPEZA DE BROCAS - CORPO DE PLÁSTICO CILÍNDRICOS COM CERDAS DE AÇO.</t>
  </si>
  <si>
    <t>Fita teste para Autoclave</t>
  </si>
  <si>
    <t>Mini incubadora bivolt</t>
  </si>
  <si>
    <t>PAPEL GRAU CIRÚRGICO-ISENTO DE FUROS, SEM CORANTES, REPELENTEA LÍQUIDOS, RESISTENTE A RASGOS E INODORO - ROLO 05CMX100M</t>
  </si>
  <si>
    <t>PAPEL GRAU CIRÚRGICO-ISENTO DE FUROS, SEM CORANTES, REPELENTEA LÍQUIDOS, RESISTENTE A RASGOS E INODORO - ROLO 08CMX100M</t>
  </si>
  <si>
    <t>PAPEL GRAU CIRÚRGICO - ISENTO DE FUROS, SEM CORANTES,REPELENTE A LÍQUIDOS, RESISTENTE A RASGOS E INODORO - ROLO 10CMX100M</t>
  </si>
  <si>
    <t>PAPEL GRAU CIRÚRGICO-ISENTO DE FUROS, SEM CORANTES, REPELENTEA LÍQUIDOS, RESISTENTE A RASGOS E INODORO - ROLO 15CMX100M</t>
  </si>
  <si>
    <t>PAPEL GRAU CIRURGICO 17CM X 100M</t>
  </si>
  <si>
    <t xml:space="preserve">Teste de indicador biológico - Caixa com 10 unidades. </t>
  </si>
  <si>
    <t>Óleo lubrificante para caneta de alta rotação e baixa rotação.</t>
  </si>
  <si>
    <t>PAPEL TOALHA BRANCO - INTERFOLHA 2 DOBRAS</t>
  </si>
  <si>
    <t>Sabão líquido neutro</t>
  </si>
  <si>
    <t>Escova para limpeza</t>
  </si>
  <si>
    <t>Pano de limpeza multiuso semi descartável</t>
  </si>
  <si>
    <t>Flúor gel com sabor. Apresentação: frasco com 200 ml.</t>
  </si>
  <si>
    <t>Pasta profilática. Apresentação: bisnaga com 90g</t>
  </si>
  <si>
    <t>AFASTADOR LABIAL</t>
  </si>
  <si>
    <t>ÁGUA OXIGENADA 10 VOL. FRASCO 1 LITRO</t>
  </si>
  <si>
    <t>BICARBONATO DE SÓDIO - SACHÊ 40 GR</t>
  </si>
  <si>
    <t>Chave para ajuste e aperto de pontas de ultrassom – compatível com aparelho Kondortech.</t>
  </si>
  <si>
    <t>Cinzel de Ochsenbein n 01</t>
  </si>
  <si>
    <t>Cinzel de Ochsenbein n 02</t>
  </si>
  <si>
    <t>CLOREXIDINA 2%</t>
  </si>
  <si>
    <t>Cureta periodontal gracey 05/06</t>
  </si>
  <si>
    <t>Cureta periodontal gracey 11/12</t>
  </si>
  <si>
    <t>Cureta periodontal GRacey 13/14.</t>
  </si>
  <si>
    <t>Cureta periodontal Gracey 17/18.</t>
  </si>
  <si>
    <t>Cureta Periondontal MC Call 13/14</t>
  </si>
  <si>
    <t>Cureta Periondontal MC Call 17/18</t>
  </si>
  <si>
    <t>DESSENSIBILIZANTE DE DENTES SENSÍVEIS</t>
  </si>
  <si>
    <t>ENXAGUANTE BUCAL A BASE DE CLOREXIDINA A 0,12% SEM ÁLCOOL</t>
  </si>
  <si>
    <t>Escova de Robson.</t>
  </si>
  <si>
    <t>Evidenciador de placa. Solução.</t>
  </si>
  <si>
    <t>Fio Dental Embalagem de 50 m</t>
  </si>
  <si>
    <t>FIO RETRATOR 0</t>
  </si>
  <si>
    <t>FIO RETRATOR 00</t>
  </si>
  <si>
    <t>FIO RETRATOR 000</t>
  </si>
  <si>
    <t>FIO RETRATOR 1</t>
  </si>
  <si>
    <t>Pedra de afiar instrumental.</t>
  </si>
  <si>
    <t>Pedra Pomes – Embalagem plástico transparente contendo 1kg</t>
  </si>
  <si>
    <t>Pontas para sistema ultrassônico - compatível com aparelho Kondortech.</t>
  </si>
  <si>
    <t>Sonda milimetrada G Willians.</t>
  </si>
  <si>
    <t>SONDA NABERS</t>
  </si>
  <si>
    <t>TUNELIZADOR</t>
  </si>
  <si>
    <t>Articulador sem mola tipo charneira para prótese total. Composição: metal polido. Caixa contendo 01 unidade.</t>
  </si>
  <si>
    <t>BRANCO DE ESPANHA</t>
  </si>
  <si>
    <t>Cera de utilidade. Caixa verde com 225 gramas.</t>
  </si>
  <si>
    <t>CERA PERIFÉRICA PARA COLOCAÇÃO DA BORDA DA MOLDEIRA PARA MOLDAGEM DE ALGINATO NA COR BRANCA DE Nº 06 - CX. COM 40 BASTÕES</t>
  </si>
  <si>
    <t>Cera rosa 7: apresentação ponte de 225 gramas, usoodontológico.</t>
  </si>
  <si>
    <t>Cubeta - grau de borracha grande - material borracha flexível</t>
  </si>
  <si>
    <t>Gesso comum II - embalagem plástica de 1kg, cor branca</t>
  </si>
  <si>
    <t>Gesso Pedra III. Embalagem plástica de 1kg, cor amarela, gesso tipo alfa</t>
  </si>
  <si>
    <t>Isolante líquido para resinas acrílicas (frasco 500 ml) com película. Composição: alginato de sódio e água.</t>
  </si>
  <si>
    <t>Isqueiro</t>
  </si>
  <si>
    <t>Lamparina - Aluminio com pavio e tampa</t>
  </si>
  <si>
    <t>Lamparinas modelo Hannau lifr point simples resistente ao calor.</t>
  </si>
  <si>
    <t>Lápis cópia grafite cor azul - corpo de madeira sextavada.</t>
  </si>
  <si>
    <t>Mandril para disco de aço PM 303 cromado com aperto no parafuso.</t>
  </si>
  <si>
    <t xml:space="preserve">Mandril para discos e serras. Apresentação: blister contendo uma unidade de 22 mm. </t>
  </si>
  <si>
    <t>MUFLAS P/MICROONDAS</t>
  </si>
  <si>
    <t xml:space="preserve">Pasta de zinco enólica para moldagem de bocas desdentadas - Caixa cinza contendo 01 tubo de pasta vermelha e 01 tubo de pasta para líquido 120 gramas. </t>
  </si>
  <si>
    <t>Pavio de barbante para lamparina média e lamparina hanau média</t>
  </si>
  <si>
    <t>Pavio de barbante para lamparina pequena e lamparina hanau fino.</t>
  </si>
  <si>
    <t>Placa de cristal 1,5 mm - Formato redonda para plastificadora a vácuo, contendo 5 placas cada caixa.</t>
  </si>
  <si>
    <t xml:space="preserve">Pote de vidro com tampa para manipulação de resina acrílica. </t>
  </si>
  <si>
    <t>Removedor de cera e gorduras de próteses odontológicas. Apresentação: frasco com 500 ml</t>
  </si>
  <si>
    <t>Silicone por condensação de alta precisão e catalizador - kit contendo 03 potes de silicone na cor cinza (pote com 900gr), e 01 bisnaga de 60ml de catalisador para silicone para confecção de muralhas.</t>
  </si>
  <si>
    <t>Solvente para gesso. Embalagem de 01 litro.</t>
  </si>
  <si>
    <t>Adesivo instantâneo multiuso, do tipo 793</t>
  </si>
  <si>
    <t>Alginato com presa regular, aroma de menta, livre de poeira para impressões.</t>
  </si>
  <si>
    <t>Alginato plus de presa especial e rápida para impressão. Livres de poeira.</t>
  </si>
  <si>
    <t xml:space="preserve">Bastão para brilho e prótese dentária. </t>
  </si>
  <si>
    <t>Blocos de papel para espatulação. Grande 15x7,8cm. Pacote com 50 folhas.</t>
  </si>
  <si>
    <t>Broca esférica nº 10 para caneta de motor de bancada - fresa de aço.</t>
  </si>
  <si>
    <t>Broca ponta trimmer nº04</t>
  </si>
  <si>
    <t>Broca tungstênio carbide corte cruzado fino</t>
  </si>
  <si>
    <t>Broca tungstênio carbide corte espiral grossa.</t>
  </si>
  <si>
    <t>Broca de tungstênio carbide corte cruzado médio.</t>
  </si>
  <si>
    <t>Carbono dupla face de Articulação e registro de oclusão</t>
  </si>
  <si>
    <t>Dentes - Tamanho 264 – cor 66 – superior</t>
  </si>
  <si>
    <t>Dentes - Tamanho 264 – cor 66 – inferior</t>
  </si>
  <si>
    <t>Dentes - Tamanho 263 – cor 66 superior</t>
  </si>
  <si>
    <t>Dentes - Tamanho 263 - cor 66 - inferior</t>
  </si>
  <si>
    <t>Dentes - 30M - cor 66 - superior</t>
  </si>
  <si>
    <t>Dentes - 30M - cor 66 - inferior</t>
  </si>
  <si>
    <t>Dentes - 30L - cor 66 - superior</t>
  </si>
  <si>
    <t>Dentes 30L - cor 66 - inferior</t>
  </si>
  <si>
    <t>Dentes A25 - cor 66 - superior</t>
  </si>
  <si>
    <t>Dentes A25 - cor 66 - inferior</t>
  </si>
  <si>
    <t>Dentes 2N - cor 66- inferior</t>
  </si>
  <si>
    <t>Dentes 2N - cor 66 - superior</t>
  </si>
  <si>
    <t>Dentes 266 - cor 66 - superior</t>
  </si>
  <si>
    <t>Dentes - 266 - cor 66 - inferior</t>
  </si>
  <si>
    <t>Dentes 264 - cor 67 - superior</t>
  </si>
  <si>
    <t>Dentes 263 - cor 67 - superior</t>
  </si>
  <si>
    <t>Dentes 263 - cor 67 - inferior</t>
  </si>
  <si>
    <t>Dentes 30M - cor 67 - superior</t>
  </si>
  <si>
    <t>Dentes 30M - cor 67 - inferior</t>
  </si>
  <si>
    <t>Dentes 30L - cor 67 - superior</t>
  </si>
  <si>
    <t>Dentes - 30L - cor 67 - inferior</t>
  </si>
  <si>
    <t>Dentes A25 - cor 67 - superior</t>
  </si>
  <si>
    <t>Dentes A25 - cor 67 - inferior</t>
  </si>
  <si>
    <t>Dentes 2N - cor 67 - inferior</t>
  </si>
  <si>
    <t>Dentes 2N - cor 67 - superior</t>
  </si>
  <si>
    <t>Dentes 266 - cor 67 - superior</t>
  </si>
  <si>
    <t>Dentes 266 - cor 67 - inferior</t>
  </si>
  <si>
    <t>Dentes 2P - cor 67 - inferior</t>
  </si>
  <si>
    <t>Dentes 2P - cor 67 - superior</t>
  </si>
  <si>
    <t>Dentes 264 - cor 69 - superior</t>
  </si>
  <si>
    <t>Dentes 264 - cor 69 - inferior</t>
  </si>
  <si>
    <t>Dentes 263 - cor 69 - superior</t>
  </si>
  <si>
    <t>Dentes 263 - cor 69 - inferior</t>
  </si>
  <si>
    <t>Dentes 30M - cor 69 - superior</t>
  </si>
  <si>
    <t>Dentes 30M - cor 69 - inferior</t>
  </si>
  <si>
    <t>Dentes 30L - cor 69 - superior</t>
  </si>
  <si>
    <t>Dentes 30L - cor 69 - inferior</t>
  </si>
  <si>
    <t>Dentes A25 - cor 69 - superior</t>
  </si>
  <si>
    <t>Dentes A25 - cor 69 - inferior</t>
  </si>
  <si>
    <t>Dentes 2N - cor 69 - inferior</t>
  </si>
  <si>
    <t>Dentes 2N - cor 69 - superior</t>
  </si>
  <si>
    <t>Dentes 264 - cor 67 - inferior</t>
  </si>
  <si>
    <t>Dentes 266 - cor 69 - superior</t>
  </si>
  <si>
    <t>Dentes 266 - cor 69 - inferior</t>
  </si>
  <si>
    <t>Dentes 2P - cor 69 - superior</t>
  </si>
  <si>
    <t>Dentes de resina acrílica. Tamanho 32M – cor 66 superior</t>
  </si>
  <si>
    <t>Dentes de resina acrílica. Tamanho 32M – cor 66 inferior</t>
  </si>
  <si>
    <t>Dentes de resina acrílica. Tamanho 32L – cor 66 superior</t>
  </si>
  <si>
    <t>Dentes de resina acrílica. Tamanho 32L – cor 66 inferior</t>
  </si>
  <si>
    <t>Dentes 32M - cor 67 - superior</t>
  </si>
  <si>
    <t>Dentes 32M - cor 67 - inferior</t>
  </si>
  <si>
    <t>Dentes 32L - cor 67 - superior</t>
  </si>
  <si>
    <t>Dentes 32L - cor 67 - inferior</t>
  </si>
  <si>
    <t>Dentes 32M - cor 69 - superior</t>
  </si>
  <si>
    <t>Dentes 32M - cor 69 - inferior</t>
  </si>
  <si>
    <t>Dentes 32L - cor 69 - superior</t>
  </si>
  <si>
    <t>Dentes 32L - cor 69 - inferior</t>
  </si>
  <si>
    <t>Dentes 263 - cor 62 - superior</t>
  </si>
  <si>
    <t>Dentes 263 - cor 62 - inferior</t>
  </si>
  <si>
    <t>Dentes 264 - cor 62 - superior</t>
  </si>
  <si>
    <t>Dentes 264 -cor 62 - inferior</t>
  </si>
  <si>
    <t>Dentes A25 - cor 62 - superior</t>
  </si>
  <si>
    <t>Dentes A25 - cor 62 - inferior</t>
  </si>
  <si>
    <t>Dentes A23 - cor 62 - superior</t>
  </si>
  <si>
    <t>Dentes A23 - cor 62 - inferior</t>
  </si>
  <si>
    <t>Dentes 30M - cor 62 - superior</t>
  </si>
  <si>
    <t>Dentes 30M - cor 62 - inferior</t>
  </si>
  <si>
    <t>Dentes 32M - cor 62 - superior</t>
  </si>
  <si>
    <t>Dentes 32M - cor 62 - inferior</t>
  </si>
  <si>
    <t>Dentes 30L - cor 62 - superior</t>
  </si>
  <si>
    <t>Dentes 30L - cor 62 - inferior</t>
  </si>
  <si>
    <t>Dentes 264 - cor 81- superior</t>
  </si>
  <si>
    <t>Dentes 264 - cor 60 - superior</t>
  </si>
  <si>
    <t>Dentes 30L - cor 81 - superior</t>
  </si>
  <si>
    <t>Dentes 30L - cor 60 - superior</t>
  </si>
  <si>
    <t>Dentes 32L - cor 62 - inferior</t>
  </si>
  <si>
    <t>Dentes 32L - cor 62 - superior</t>
  </si>
  <si>
    <t>Disco para recortador de gesso- Disco de 10 Pol. , encaixe 5/8</t>
  </si>
  <si>
    <t>Escova de algodão - 100x10 mm</t>
  </si>
  <si>
    <t>ESCOVA DE BRIM AZUL - 100x10MM</t>
  </si>
  <si>
    <t>Escova de flanela para brilho - 10 cm de diâmetro.</t>
  </si>
  <si>
    <t>Espátula 7 - Aço inox sensível a solução clorada</t>
  </si>
  <si>
    <t>Espátula esculpidor holemback nº 35.</t>
  </si>
  <si>
    <t>Espátula Lecron - Aço inox sensível a solução clorada</t>
  </si>
  <si>
    <t>Lixa para madeira.Nº 100</t>
  </si>
  <si>
    <t>Lixa para madeira.Nº 120</t>
  </si>
  <si>
    <t>Monômero autopolimerizável - frasco de vidro com 01 litro.</t>
  </si>
  <si>
    <t>Monômero termopolimerizável - frasco de vidro com 1000 ml, 01 litro para microondas.</t>
  </si>
  <si>
    <t>Placa base fina para preparação de impressões para prótese, com placas superiores e inferiores. Caixa com 50 placas.</t>
  </si>
  <si>
    <t>Placa base grossa para preparação de impressões para prótese, com placas superiores e inferiores. Caixa com 25 placas.</t>
  </si>
  <si>
    <t>Polímero incolor acrílico termo polimerizável para microondas. Composição: copolímero metil etil, metilmetacril, perox DBP. Emabalagem/frasco plástico com 01 kg na cor incolor.</t>
  </si>
  <si>
    <t>Polímero incolor autopolimerizável – frasco com 1kg</t>
  </si>
  <si>
    <t>POLIMERO ROSA AUTOPOLIMERIZÁVEL - FRASCO 1KG</t>
  </si>
  <si>
    <t>Polímero rosa claro com veias termo polimerizável para microondas-</t>
  </si>
  <si>
    <t xml:space="preserve">Filme radiográfico infantil IP -01 de velocidade F(intermediária). Apresentação: caixa contendo 100 películas, 22mmx35mm, cor roxa. </t>
  </si>
  <si>
    <t xml:space="preserve">Filme radiográfico intra oral de velocidade E, adulto. Apresentação: caixa contendo 150 películas. </t>
  </si>
  <si>
    <t>Fixador dental para filme radiográfico (475 ml)</t>
  </si>
  <si>
    <t>Posicionador de RX adulto autoclavável.</t>
  </si>
  <si>
    <t>Revelador dental para filme radiográfico (475 ml).</t>
  </si>
  <si>
    <t>Acebrofilina 10mg/mL xarope adulto - 120 mL</t>
  </si>
  <si>
    <t>Medicamento Atenção Básica</t>
  </si>
  <si>
    <t>Acebrofilina 5mg/mL xarope infantil - 120 mL</t>
  </si>
  <si>
    <t>Acetato de medroxiprogesterona 150mg/mL</t>
  </si>
  <si>
    <t>AMP</t>
  </si>
  <si>
    <t>Aciclovir 200mg</t>
  </si>
  <si>
    <t xml:space="preserve">UN </t>
  </si>
  <si>
    <t>ACICLOVIR 50MG/G CREME BISNAGA 10G</t>
  </si>
  <si>
    <t>BIS</t>
  </si>
  <si>
    <t>Ácido acetil salicílico 100mg</t>
  </si>
  <si>
    <t>Ácido ascórbico 500mg comprimido</t>
  </si>
  <si>
    <t>Ácido fólico 5mg</t>
  </si>
  <si>
    <t>Ácido Folínico 15mg comprimido</t>
  </si>
  <si>
    <t>Ácido valpróico 250mg</t>
  </si>
  <si>
    <t>CAP</t>
  </si>
  <si>
    <t>Ácido valpróico 500mg</t>
  </si>
  <si>
    <t>Água destilada, estéril e apirogênica - 10 mL</t>
  </si>
  <si>
    <t>Albendazol 40mg/mL suspensão oral frasco 10mL</t>
  </si>
  <si>
    <t>Albendazol mastigável 400mg</t>
  </si>
  <si>
    <t>Alendronato de sódio 70mg</t>
  </si>
  <si>
    <t>Alopurinol 100mg</t>
  </si>
  <si>
    <t>Alopurinol 300mg</t>
  </si>
  <si>
    <t>Ambroxol 15mg/5mL Xarope Infantil Frasco 100ml</t>
  </si>
  <si>
    <t>Ambroxol 30mg/5mL Xarope Adulto Frasco 100ml</t>
  </si>
  <si>
    <t>Aminofilina 100mg</t>
  </si>
  <si>
    <t>Aminofilina 24mg/mL, solução injetável - 10 mL</t>
  </si>
  <si>
    <t>Amiodarona 200mg</t>
  </si>
  <si>
    <t>Amiodarona 50mg/mL injetável - 3mL</t>
  </si>
  <si>
    <t>Amitriptilina 25mg</t>
  </si>
  <si>
    <t>Amoxicilina 250mg/5mL Suspensão - 150mL</t>
  </si>
  <si>
    <t>Amoxicilina 500mg</t>
  </si>
  <si>
    <t>Amoxicilina + clavulanato de potássio 500mg + 125mg</t>
  </si>
  <si>
    <t>Amoxicilina + Clavulanato de Potássio 50mg + 12,5mg/mL Suspensão oral frasco 75mL</t>
  </si>
  <si>
    <t>Anlodipino besilato 5mg</t>
  </si>
  <si>
    <t>Atenolol 100mg</t>
  </si>
  <si>
    <t>Atenolol 25mg</t>
  </si>
  <si>
    <t>Atenolol 50mg</t>
  </si>
  <si>
    <t>Atropina sulfato 0,25mg/mL solução injetável - 1 mL</t>
  </si>
  <si>
    <t>Azitromicina 500mg</t>
  </si>
  <si>
    <t>Azitromicina, pó p/ susp oral (900mg) Fr Pl 22,5mL + dil 12mL + seringa</t>
  </si>
  <si>
    <t>Baclofeno 10mg</t>
  </si>
  <si>
    <t>Benzilpenicilina Benzatina 1.200.000UI Pó para suspensão injetável</t>
  </si>
  <si>
    <t>Biperideno 2mg</t>
  </si>
  <si>
    <t>Brometo de ipratrópio 0,25mg/mL solução - 20 mL</t>
  </si>
  <si>
    <t>Bromoprida 10mg</t>
  </si>
  <si>
    <t>Bromoprida 4mg/mL gotas - 20 mL</t>
  </si>
  <si>
    <t>Bupropiona cloridrato 150mg</t>
  </si>
  <si>
    <t>Captopril 25mg</t>
  </si>
  <si>
    <t>Carbamazepina 200mg</t>
  </si>
  <si>
    <t>Carbamazepina, 20mg/mL, suspensão oral - 100 mL</t>
  </si>
  <si>
    <t>Carbonato de cálcio 500mg +colecalciferol (vitamina D) 200UI</t>
  </si>
  <si>
    <t>Carbonato de litio 300mg</t>
  </si>
  <si>
    <t>Carvedilol 12,5mg</t>
  </si>
  <si>
    <t>Carvedilol 25mg</t>
  </si>
  <si>
    <t>Carvedilol 3,125mg</t>
  </si>
  <si>
    <t>Carvedilol 6,25mg</t>
  </si>
  <si>
    <t>Cefalexina 500mg</t>
  </si>
  <si>
    <t>Cefalexina 50mg/mL pó para suspensão oral - 100 mL</t>
  </si>
  <si>
    <t>Ceftriaxona sódica 500mg, injetável uso intramuscular</t>
  </si>
  <si>
    <t>cetoconazol 200mg</t>
  </si>
  <si>
    <t>Cetoconazol 20mg/g creme tópico bisnaga 30g</t>
  </si>
  <si>
    <t>Ciclobenzaprina cloridrato 5mg</t>
  </si>
  <si>
    <t>Cilostazol 100mg</t>
  </si>
  <si>
    <t>CINARIZINA 75MG COMPRIMIDO</t>
  </si>
  <si>
    <t>Ciprofloxacino cloridrato 500mg</t>
  </si>
  <si>
    <t>Ciprofloxacino cloridrato associado a hidrocortisona, 2mg + 10mg/ml, suspensão otológica - 5mL</t>
  </si>
  <si>
    <t>Claritromicina 500mg</t>
  </si>
  <si>
    <t>Clindamicina 300mg</t>
  </si>
  <si>
    <t>Clomipramina 25mg</t>
  </si>
  <si>
    <t>Clonazepam 0,5mg</t>
  </si>
  <si>
    <t>Clonazepam 2mg</t>
  </si>
  <si>
    <t>Clopidogrel 75mg</t>
  </si>
  <si>
    <t>Cloreto de potássio 10% solução injetável - 10 mL</t>
  </si>
  <si>
    <t>Cloreto de potássio 19,1% solução injetável - 10 mL</t>
  </si>
  <si>
    <t>Cloreto de sódio 0,9% sol nasal - 30 mL</t>
  </si>
  <si>
    <t>Cloreto de sódio 20% solução injetável - 10 mL</t>
  </si>
  <si>
    <t>Cloridrato de ciclopentolato 1%, solução oftalmica - frasco 5mL</t>
  </si>
  <si>
    <t>Cloridrato de proximetacaína 0,5%, solução oftálmica - frasco 5mL</t>
  </si>
  <si>
    <t>Clorpromazina 100mg</t>
  </si>
  <si>
    <t>Clorpromazina 25mg</t>
  </si>
  <si>
    <t>Colagenase + cloranfenicol 0,6UI + 0,1% pomada - 30 gr</t>
  </si>
  <si>
    <t>Deltametrina 0,2mg/mL loção - 100 mL</t>
  </si>
  <si>
    <t>Deltametrina 0,2mg/mL xampu - 100 mL</t>
  </si>
  <si>
    <t>Deslanosídeo 0,2mg/mL solução injetável - 2 mL</t>
  </si>
  <si>
    <t>Dexametasona 0,1mg/mL elixir - 100 mL</t>
  </si>
  <si>
    <t>Dexametasona 1mg/g creme - bisnaga 10g</t>
  </si>
  <si>
    <t>Dexametasona 2mg/mL solução injetável - 1 mL</t>
  </si>
  <si>
    <t>Dexametsona 4mg</t>
  </si>
  <si>
    <t>Dexclorfeniramina 2mg</t>
  </si>
  <si>
    <t>Dexclorfeniramina maleato 0,4mg/mL xarope/sol oral frasco - 100mL</t>
  </si>
  <si>
    <t>Diazepam 10mg</t>
  </si>
  <si>
    <t>Diazepam 10mg/2mL solução injetável - 2mL</t>
  </si>
  <si>
    <t>Diazepam 5mg</t>
  </si>
  <si>
    <t>Diclofenaco de Potássio 50mg</t>
  </si>
  <si>
    <t>Diclofenaco de Sódio 50mg</t>
  </si>
  <si>
    <t>Diclofenaco sal sódico 25mg/mL solução injetável - 3 mL</t>
  </si>
  <si>
    <t>Digoxina 0,25mg</t>
  </si>
  <si>
    <t>Diltiazem 30mg</t>
  </si>
  <si>
    <t>Dimeticona 40mg</t>
  </si>
  <si>
    <t>Dimeticona 75mg/mL - 10mL</t>
  </si>
  <si>
    <t>Diosmina associada à hesperidina, 450mg + 50mg</t>
  </si>
  <si>
    <t>Dipirona 500mg</t>
  </si>
  <si>
    <t>Dipirona 500mg/mL gotas - frasco 10mL</t>
  </si>
  <si>
    <t>Dipirona sódica 500mg + maleato de clorfeniramina 2mg + cafeína 30mg</t>
  </si>
  <si>
    <t>Dipirona sódica 500mg/mL solução injetável - 2 mL</t>
  </si>
  <si>
    <t>Divalproato de sódio 250mg</t>
  </si>
  <si>
    <t>Dobutamina cloridrato 12,5mg/mL injetável - 20 mL</t>
  </si>
  <si>
    <t>Dopamina 5mg/mL solução injetável - 10mL</t>
  </si>
  <si>
    <t>Doxazosina mesilato 2mg</t>
  </si>
  <si>
    <t>Doxiciclina 100mg</t>
  </si>
  <si>
    <t>Enalapril maleato 10mg</t>
  </si>
  <si>
    <t>Enalapril maleato 5mg</t>
  </si>
  <si>
    <t>Epinefrina 1mg/mL solução injetável - 1 mL</t>
  </si>
  <si>
    <t>EQUIPO MACROGOTAS P/ NUTRIÇÃO ENTERAL (CONECTOR ESCALONADO)</t>
  </si>
  <si>
    <t>Eritromicina estolato 50mg/mL susp oral - 60 mL</t>
  </si>
  <si>
    <t>Escopolamina butilbrometo 20mg/ml solução injetável - 1 mL</t>
  </si>
  <si>
    <t>Espironolactona 100mg</t>
  </si>
  <si>
    <t>Espironolactona 25mg</t>
  </si>
  <si>
    <t>Estradiol valerato, associado com Noretisterona enantato, 5mg + 50mg/1mL, injetável - 1 mL</t>
  </si>
  <si>
    <t>Fenitoina 100mg</t>
  </si>
  <si>
    <t>Fenitoina sódica 50mg/mL solução injetável - 5 mL</t>
  </si>
  <si>
    <t>Fenobarbital 100mg</t>
  </si>
  <si>
    <t>Fenobarbital sódico 100mg/mL solução injetável - 2 mL</t>
  </si>
  <si>
    <t>Fenobarbital sódico 40mg/mL sol oral - gotas - 20mL</t>
  </si>
  <si>
    <t>Fenoterol bromidrato 5mg/mL solução para nebulização (gotas) - 20 mL</t>
  </si>
  <si>
    <t>Finasterida 5mg</t>
  </si>
  <si>
    <t>Fluconazol 150mg</t>
  </si>
  <si>
    <t>Fluoresceína sódica 1%, solução oftálmica - frasco 3mL</t>
  </si>
  <si>
    <t>Fluoxetina 20mg</t>
  </si>
  <si>
    <t>Frasco descartável 300mL de Nutrição Enteral</t>
  </si>
  <si>
    <t>Furosemida 10mg/mL solução injetável - 2 mL</t>
  </si>
  <si>
    <t>Furosemida 40mg</t>
  </si>
  <si>
    <t>Ginkgo biloba 80mg</t>
  </si>
  <si>
    <t>Glibenclamida 5mg</t>
  </si>
  <si>
    <t>Gliclazida 30mg, comprimido de liberação controlada</t>
  </si>
  <si>
    <t>Glicose 25% solução injetável - 10 mL</t>
  </si>
  <si>
    <t>Glicose 50% solução injetável - 10mL</t>
  </si>
  <si>
    <t>Guaco xarope sem açúcar (Mikanya glomerata 35mg/mL) - 100 mL</t>
  </si>
  <si>
    <t>Haloperidol 2mg/mL Solução oral Frasco 20mL</t>
  </si>
  <si>
    <t>Haloperidol 5mg</t>
  </si>
  <si>
    <t>Haloperidol 5mg/mL solução injetável - 1 mL</t>
  </si>
  <si>
    <t>Haloperidol decanoato 70,52mg/mL</t>
  </si>
  <si>
    <t>Hidroclorotiazida 25mg</t>
  </si>
  <si>
    <t>Hidrocortisona 100mg injetável</t>
  </si>
  <si>
    <t>Hidrocortisona 500mg injetável</t>
  </si>
  <si>
    <t>Hidrocortisona creme 1% - bisnaga 30g</t>
  </si>
  <si>
    <t>Hidroxido de aluminio 61,5mg/mL  frasco - 150mL</t>
  </si>
  <si>
    <t>HIDROXIZINA CLORIDRATO 25MG</t>
  </si>
  <si>
    <t>Hipromelose + dextrano 70 e poliquartenio-1, 3mg + 1mg + 0,01mg/mL sol. Oftalmica - 15 mL</t>
  </si>
  <si>
    <t>HYPERICUM PERFORATUM 300MG</t>
  </si>
  <si>
    <t>Ibuprofeno 100mg/mL gotas frasco 20mL</t>
  </si>
  <si>
    <t>Ibuprofeno 300mg</t>
  </si>
  <si>
    <t>Imipramina 25mg</t>
  </si>
  <si>
    <t>Isossorbida sal mononitrato 10mg/mL solução injetável - 1 mL</t>
  </si>
  <si>
    <t>Isossorbida, sal mononitrato 20mg</t>
  </si>
  <si>
    <t>Itraconazol 100mg</t>
  </si>
  <si>
    <t>Ivermectina 6mg</t>
  </si>
  <si>
    <t>Lactulose 667mg/mL xarope - 120 mL</t>
  </si>
  <si>
    <t>Levodopa associado à benserazida, 100mg + 25mg cápsula</t>
  </si>
  <si>
    <t>Levodopa associado à benserazida, 100mg + 25mg comprimido</t>
  </si>
  <si>
    <t>Levodopa associado à benserazida, 200mg + 50mg comprimido</t>
  </si>
  <si>
    <t>Levodopa, associado à carbidopa, 250mg + 25mg</t>
  </si>
  <si>
    <t>Levofloxacino 500mg</t>
  </si>
  <si>
    <t>Levomepromazina 100mg</t>
  </si>
  <si>
    <t>Levomepromazina 40mg/mL sol oral - 20 mL</t>
  </si>
  <si>
    <t>Levonorgestrel associado à Etinilestradiol, 0,15mg + 0,03mg</t>
  </si>
  <si>
    <t>Levotiroxina sodica 100mcg</t>
  </si>
  <si>
    <t>Levotiroxina sodica 25mcg</t>
  </si>
  <si>
    <t>Levotiroxina sodica 50mcg</t>
  </si>
  <si>
    <t>Lidocaína cloridrato 2% injetável - 20 mL</t>
  </si>
  <si>
    <t>Lidocaína cloridrato 2% injetável - 5 mL</t>
  </si>
  <si>
    <t>Lidocaína cloridrato, associado com epinefrina, 2% + 1:200.000, injetável - 20 mL</t>
  </si>
  <si>
    <t>Loratadina 10mg</t>
  </si>
  <si>
    <t>Loratadina 1mg/mL, xarope - 100mL</t>
  </si>
  <si>
    <t>Losartana potássica 50mg</t>
  </si>
  <si>
    <t>Mebendazol 100mg</t>
  </si>
  <si>
    <t>Mebendazol 20mg/mL suspensão oral - 30 mL</t>
  </si>
  <si>
    <t>Metformina cloridrato 500mg</t>
  </si>
  <si>
    <t>Metformina cloridrato 850mg</t>
  </si>
  <si>
    <t>Metildopa 250mg</t>
  </si>
  <si>
    <t>Metoclopramida 10mg</t>
  </si>
  <si>
    <t>Metoclopramida 5mg/mL injetável - ampola 2mL</t>
  </si>
  <si>
    <t>Metoclopramida Cloridrato 4mg/mL - gotas frasco 10mL</t>
  </si>
  <si>
    <t>Metoprolol sal succinato 50mg, liberação controlada</t>
  </si>
  <si>
    <t>Metronidazol 250mg</t>
  </si>
  <si>
    <t>Metronidazol 500mg/5g Geléia Vaginal - bisnaga 50g + aplicadores</t>
  </si>
  <si>
    <t xml:space="preserve">TB </t>
  </si>
  <si>
    <t>MICONAZOL 20MG/G CREME TÓPICO BISNAGA 30G</t>
  </si>
  <si>
    <t>Miconazol nitrato creme vaginal 20mg/g - bisnaga 80g + aplicadores</t>
  </si>
  <si>
    <t>Midazolam 5mg/mL injetável - 3mL</t>
  </si>
  <si>
    <t>Multivitaminas associados c/ sais minerais</t>
  </si>
  <si>
    <t>Neomicina, associada com bacitracina, 5mg + 250UI/g pomada - 10g</t>
  </si>
  <si>
    <t>Nimesulida 100mg</t>
  </si>
  <si>
    <t>Nistatina, 100.000UI/mL, suspensão oral - 50 mL</t>
  </si>
  <si>
    <t>Nistatina 25.000UI/g, creme vaginal - 60 gr + aplicadores</t>
  </si>
  <si>
    <t>Nitrazepam 5mg</t>
  </si>
  <si>
    <t>Nitrofurantoína 100mg</t>
  </si>
  <si>
    <t>Noretisterona 0,35mg</t>
  </si>
  <si>
    <t>Nortriptilina cloridrato 25mg</t>
  </si>
  <si>
    <t>Omeprazol 20mg</t>
  </si>
  <si>
    <t>Oxcarbazepina 300mg</t>
  </si>
  <si>
    <t>Oxcarbazepina 6% suspensão frasco 100mL</t>
  </si>
  <si>
    <t>Óxido de zinco, associado com vitamina A + vitamina D, 150mg + 5.000UI + 900UI/g pomada - 45 gr</t>
  </si>
  <si>
    <t>Paracetamol 200mg/mL gotas - frasco 15mL</t>
  </si>
  <si>
    <t>Paracetamol 500mg</t>
  </si>
  <si>
    <t>Pirimetamina 25mg</t>
  </si>
  <si>
    <t>Piroxicam 20mg</t>
  </si>
  <si>
    <t>Prednisolona fosfato sódico, 1mg/mL, solução oral - 100 mL</t>
  </si>
  <si>
    <t>Prednisona 20mg</t>
  </si>
  <si>
    <t>Prednisona 5mg</t>
  </si>
  <si>
    <t>Prometazina cloridrato 25mg</t>
  </si>
  <si>
    <t>Propafenona 300mg</t>
  </si>
  <si>
    <t>Propatilnitrato 10mg</t>
  </si>
  <si>
    <t>Propiltiouracil 100mg</t>
  </si>
  <si>
    <t>Propranolol 40mg</t>
  </si>
  <si>
    <t>Retinol, associada com colecalciferol, 5500UI + 2200UI, solução oral gotas - 10 mL</t>
  </si>
  <si>
    <t>Salbutamol sulfato, 100mcg/dose aerosol oral - 200 doses</t>
  </si>
  <si>
    <t>Salbutamol xarope 0,4mg/mL - 120 mL</t>
  </si>
  <si>
    <t>Sertralina 50mg</t>
  </si>
  <si>
    <t>Sinvastatina 20mg</t>
  </si>
  <si>
    <t>Sulfadiazina 500mg</t>
  </si>
  <si>
    <t>Sulfadiazina de prata 1% creme - 50 g</t>
  </si>
  <si>
    <t>Sulfametoxazol 400mg + Trimetoprima 80mg</t>
  </si>
  <si>
    <t>Sulfato Ferroso 25mg/mL gotas - 30mL</t>
  </si>
  <si>
    <t>Sulfato ferroso 40mg de Fe II</t>
  </si>
  <si>
    <t>Tansulosina 0.4mg liberação prolongada</t>
  </si>
  <si>
    <t>Tiamina 300mg</t>
  </si>
  <si>
    <t>Tobramicina 0,3% solução oftálmica - 5 mL</t>
  </si>
  <si>
    <t>Tobramicina, associada a dexametasona, 3mg + 1mg/mL, suspensão oftálmica - 5 mL</t>
  </si>
  <si>
    <t>Tramadol 50mg</t>
  </si>
  <si>
    <t>Tropicamida 1%, solução oftálmica - frasco 5mL</t>
  </si>
  <si>
    <t>VALERIANA OFFICINALLIS 50MG</t>
  </si>
  <si>
    <t>Valproato de sódio 50mg/mL xarope - 100 mL</t>
  </si>
  <si>
    <t>Varfarina 5mg</t>
  </si>
  <si>
    <t>Vitaminas do complexo B, B1, B2, B3,  B5, B6, B12</t>
  </si>
  <si>
    <t>Insulina Asparte 100UI/mL, solução injetável - Refil de 3mL</t>
  </si>
  <si>
    <t>Refil</t>
  </si>
  <si>
    <t>Medicamento Judicial</t>
  </si>
  <si>
    <t xml:space="preserve">                Insulina asparte associada à asparte protaminada, 30% + 70%,100UI/mL, solução injetável - Refil de 3mL</t>
  </si>
  <si>
    <t>Insulina Degludeca 100 UI/mL, solução injetável - Refil de 3mL</t>
  </si>
  <si>
    <t>Insulina Detemir 100UI/mL, solução injetável - Refil de 3mL</t>
  </si>
  <si>
    <t>Insulina lispro associado à lispro protaminada, 25% + 75%, soluçãoinjetável - refil 3mL</t>
  </si>
  <si>
    <t>Insulina Lispro 100UI/mL, solução injetável - Refil 3mL</t>
  </si>
  <si>
    <t>Insulina Lispro 100UI/mL, solução injetável - frasco 10mL</t>
  </si>
  <si>
    <t>Insulina Glulisina 100UI/mL, solução injetável - Frasco 10mL</t>
  </si>
  <si>
    <t>Insulina Glargina 100UI/mL, solução injetável - Refil 3mL</t>
  </si>
  <si>
    <t>Insulina Glargina 100UI/mL, solução injetável - Frasco 10mL</t>
  </si>
  <si>
    <t>Insulina Glargina - LANTUS 100UI/ML, solução injetável, Refil 3ml</t>
  </si>
  <si>
    <t>Insulina Glargina - LANTUS 100UI/ML, solução injetável, Frasco 10mL</t>
  </si>
  <si>
    <t>Ácidos graxos insaturados + Omega-3 1000mg</t>
  </si>
  <si>
    <t>Cap</t>
  </si>
  <si>
    <t>Agomelatina 25mg</t>
  </si>
  <si>
    <t>Com</t>
  </si>
  <si>
    <t>Alfatocoferol 400mg</t>
  </si>
  <si>
    <t>Alogliptina benzoato 25mg</t>
  </si>
  <si>
    <t>Aminaftona 75mg</t>
  </si>
  <si>
    <t>ARIPIPRAZOL 10MG</t>
  </si>
  <si>
    <t>ARIPIPRAZOL 15MG</t>
  </si>
  <si>
    <t>ARIPIPRAZOL 20MG</t>
  </si>
  <si>
    <t>Aripiprazol 30mg</t>
  </si>
  <si>
    <t>ATORVASTATINA 40MG COMPRIMIDO</t>
  </si>
  <si>
    <t>Benfotiamina 150mg</t>
  </si>
  <si>
    <t>Brinzolamida 10mg/mL + maleato de timolol 6,8mg/mL, susp. oftálmica -frasco 5mL</t>
  </si>
  <si>
    <t>Hemifumarato Bisoprolol 2,5mg</t>
  </si>
  <si>
    <t>Budesonida 50mcg, aerosol nasal - frs com válvula dosificador c/ 200doses</t>
  </si>
  <si>
    <t>Canabidiol solução 200mg/ml frasco 30ml</t>
  </si>
  <si>
    <t>Canagliflozina 300mg</t>
  </si>
  <si>
    <t>Carisoprodol 125mg + diclofenaco de sódio 50mg + paracetamol 300mg +cafeína 30mg</t>
  </si>
  <si>
    <t>Cetorolaco Trometamol 10mg comprimido sublingual</t>
  </si>
  <si>
    <t>Cloridrato de ciclobenzaprina 10mg + cafeína 60mg</t>
  </si>
  <si>
    <t>Ciprofibrato 100mg</t>
  </si>
  <si>
    <t>Cloridrato de olopatadina 2,2mg/mL - frasco c/ 2,5mL</t>
  </si>
  <si>
    <t>Cromoglicato de sódio 40mg/mL, solução oftálmica - frasco 5mL</t>
  </si>
  <si>
    <t>Dapagliflozina 10mg</t>
  </si>
  <si>
    <t>Divalproato de sódio 500mg, liberação controlada</t>
  </si>
  <si>
    <t>Cloridrato de duloxetina 30mg</t>
  </si>
  <si>
    <t>Empagliflozina 25mg comprimido</t>
  </si>
  <si>
    <t>ESILATO DE NINTEDANIBE 100MG</t>
  </si>
  <si>
    <t>ESILATO DE NINTEDANIBE 150MG</t>
  </si>
  <si>
    <t>FENOFIBRATO 200MG</t>
  </si>
  <si>
    <t>Fentanila, sal citrato 25mcg, adesivo transdérmico</t>
  </si>
  <si>
    <t>She</t>
  </si>
  <si>
    <t>Fentanila sal citrato 50mcg, adesivo transdérmico</t>
  </si>
  <si>
    <t>Filtro Solar FPS 90 A 100 - frasco 40mL</t>
  </si>
  <si>
    <t>Fluticasona Propionato 250mcg suspensão aerossol, uso inalatório via oral,aplicador com 60 doses</t>
  </si>
  <si>
    <t>Fluvoxamina maleato 100mg</t>
  </si>
  <si>
    <t>Fosfatodissódico de citidina 2,5mg, trifosfato trissódico de uridina 1,5mg eacetato de hidroxocobalamina 1,0mg</t>
  </si>
  <si>
    <t>Sulfato de glicosamina 1,5g + sulfato de condroitina 1,2g</t>
  </si>
  <si>
    <t>Levotiroxina 88mcg</t>
  </si>
  <si>
    <t>Mesalazina 1200mg comprimido revestido de liberação prolongada</t>
  </si>
  <si>
    <t>Vildagliptina 50mg + metformina 850mg</t>
  </si>
  <si>
    <t>VILDAGLIPTINA 50MG + METFORMINA 1000MG</t>
  </si>
  <si>
    <t>Metilfenidato cloridrato 20mg cápsula liberação modificada</t>
  </si>
  <si>
    <t>Metilfenidato cloridrato 36mg, comprimidos revestidos de liberaçãoprolongada</t>
  </si>
  <si>
    <t>Oxibitinina cloridrato 5mg</t>
  </si>
  <si>
    <t>Pantoprazol 20mg</t>
  </si>
  <si>
    <t>Pioglitazona 30mg</t>
  </si>
  <si>
    <t>Pitavastatina cálcica 2mg</t>
  </si>
  <si>
    <t>Pregabalina 75mg</t>
  </si>
  <si>
    <t>Ramipril 5mg</t>
  </si>
  <si>
    <t>Rivaroxabana 10mg</t>
  </si>
  <si>
    <t>Rivaroxabana 15mg</t>
  </si>
  <si>
    <t>Rivaroxabana 20mg</t>
  </si>
  <si>
    <t>Rosuvastatina 20mg</t>
  </si>
  <si>
    <t>Sacubitril 97mg + Valsartana 103mg</t>
  </si>
  <si>
    <t>Somatropina 4UI, pó liofilo injetável + solução diluente 1mL -Frasco-ampola</t>
  </si>
  <si>
    <t>Somatropina 12UI, pó liofilo injetável + solução diluente 2mL -Frasco-ampola</t>
  </si>
  <si>
    <t>Sorafenibe Tosilato 200mg</t>
  </si>
  <si>
    <t>Tadalafila 5mg</t>
  </si>
  <si>
    <t>Undecilato de Testosterona 250mg/ml – ampola 4mL</t>
  </si>
  <si>
    <t>Amp</t>
  </si>
  <si>
    <t>Tizanidina 2mg</t>
  </si>
  <si>
    <t>Vildagliptina 50mg</t>
  </si>
  <si>
    <t>Dieta líquida nutricionalmente completa à base de soja com 1,2 Kcal/mL. com no mínimo 10g de fibras por litro</t>
  </si>
  <si>
    <t>Dieta cetogênica 4:1 para crianças com epilepsia refratária.Adicionada devitaminas e minerais. pode ser administrado po</t>
  </si>
  <si>
    <t>Neo advance (Fórmula elementar de aminoácidos, nutricionalmentecompleta, em pó, para crianças até 10 anos, com alergias</t>
  </si>
  <si>
    <t>Edoxabana 60MG</t>
  </si>
  <si>
    <t>Cx</t>
  </si>
  <si>
    <t>Ácido Acetilsalicílico 81mg, tamponado comprimido revestido com duplacamada</t>
  </si>
  <si>
    <t>Dimesilato de lisdexanfetamina 50mg</t>
  </si>
  <si>
    <t>Succinato de metoprolol 25mg comprimido de liberação prolongada</t>
  </si>
  <si>
    <t>Atropina 1%</t>
  </si>
  <si>
    <t>Atorvastatina Cálcica 20mg</t>
  </si>
  <si>
    <t>Succinato Metoprolol 100mg</t>
  </si>
  <si>
    <t>Esomeprazol Magnesio 20MG</t>
  </si>
  <si>
    <t>Olmesartana Medoxomila, associada com anlodipino, 40 mg+5mg</t>
  </si>
  <si>
    <t>Lumigan 0,1mg/ml</t>
  </si>
  <si>
    <t>Oxalato de escitalopram 20mg</t>
  </si>
  <si>
    <t>Hermitartarato de zolpidem 10 mg</t>
  </si>
  <si>
    <t>RISPERIDONA 1MG/ML SOLUÇÃO ORAL FRASCO 30ML</t>
  </si>
  <si>
    <t>Atropina Sulfato 5mg/ml</t>
  </si>
  <si>
    <t>Coleta, transporte e destinação de resíduos químicos</t>
  </si>
  <si>
    <t>KG/ano</t>
  </si>
  <si>
    <t>Recuperação de resíduos contendo produtos químicos</t>
  </si>
  <si>
    <t>TRANSPORTE/COLETA DE LIXO/DESTINAÇÃO FINALRESÍDUO DE SAÚDE - GRUPO A E SUBGRUPO A1</t>
  </si>
  <si>
    <t>Recuperação de resíduos contendo resíduos de saúde</t>
  </si>
  <si>
    <t>TRANSPORTE/COLETA DE LIXO/DESTINAÇÃO FINALRESÍDUO DE SAÚDE - GRUPO E</t>
  </si>
  <si>
    <t>EQUOTERAPIA</t>
  </si>
  <si>
    <t>Sessão</t>
  </si>
  <si>
    <t>Serviço de Equoterapia</t>
  </si>
  <si>
    <t>Sim - Contrato nº 65/2021</t>
  </si>
  <si>
    <t>Serviço de telecomunicações nas modalidaes STFC (Serviço Telefônico fixo comutado), linhas digitais e analógicas com locação de equipamentos PABX</t>
  </si>
  <si>
    <t>Serviço de telefonia fixa local</t>
  </si>
  <si>
    <t>Sim - Contrato nº 41/2020</t>
  </si>
  <si>
    <t>Serviço telefonico móvel</t>
  </si>
  <si>
    <t>Serviço de Telefonia Móvel</t>
  </si>
  <si>
    <t>Sim - Contrato nº 17/2023</t>
  </si>
  <si>
    <t>IMPRESSÃO (OUTSOURCING)</t>
  </si>
  <si>
    <t>Serviço e impressão a laser</t>
  </si>
  <si>
    <t>Sim - Contrato nº 103/2020</t>
  </si>
  <si>
    <t>KITS PARA TESTE DE DENGUE IGG/IGM (CADA KIT CONTENDO 25 TESTES)</t>
  </si>
  <si>
    <t>Teste dengue</t>
  </si>
  <si>
    <t>KITS PARA TESTE DE DENGUE NS1 ( CADA KIT CONTENDO25 TESTES)</t>
  </si>
  <si>
    <t>Tira reagente para detecção quantitativa de glicose no sangue.</t>
  </si>
  <si>
    <t>Tira reagente</t>
  </si>
  <si>
    <t>Rastreamento veicular</t>
  </si>
  <si>
    <t xml:space="preserve">Implantação do equipamento de rastreamento veicular </t>
  </si>
  <si>
    <t>TRANSPORTE VEÍCULO DE PASSEIO, TRAÇÃO 4X4. CAPACIDADE MÍNIMA 07 LUGARES - 03 VEÍCULOS</t>
  </si>
  <si>
    <t>KM/anual</t>
  </si>
  <si>
    <t>TRANSPORTE VEÍCULO DE PASSEIO, CAPACIDADE MÍNIMA 07 LUGARES - 15 VEÍCULOS</t>
  </si>
  <si>
    <t>TRANSPORTE VEÍCULO PASSEIO, CAPACIDADE MÍNIMA 05 LUGARES - 10 VEÍCULOS</t>
  </si>
  <si>
    <t>TRANSPORTE VEÍCULO VAN, CAPACIDADE MÍNIMA 16 LUGARES - 06 VEÍCULOS</t>
  </si>
  <si>
    <t>TRANSPORTE ÔNIBUS, CAPACIDADE MÍNIMA 32 LUGARES - 02 VEÍCULOS</t>
  </si>
  <si>
    <t>TRANSPORTE ÔNIBUS, CAPACIDADE MÍNIMA 21 LUGARES - 03 VEÍCULOS</t>
  </si>
  <si>
    <t xml:space="preserve"> Transporte de remoção em ambulância simples Tipo A</t>
  </si>
  <si>
    <t xml:space="preserve"> Transporte de remoção em ambulância simples Tipo B</t>
  </si>
  <si>
    <t>Transporte de remoção em ambulância UTI/NEO NATAL</t>
  </si>
  <si>
    <t xml:space="preserve">Transporte </t>
  </si>
  <si>
    <t>SERVIÇOS DIVERSOS - Equipamentos em Comodato - Monitoramento 24H IP+GPRS</t>
  </si>
  <si>
    <t>Vigilância Eletrônica</t>
  </si>
  <si>
    <t>Sim - Contrato nº 146/2021</t>
  </si>
  <si>
    <t>SERVIÇOS DIVERSOS - Equipamentos em Comodato - Central com teclado (TCP IP + GPRS)</t>
  </si>
  <si>
    <t>SERVIÇOS DIVERSOS - Equipamentos em Comodato - IVP</t>
  </si>
  <si>
    <t>SERVIÇOS DIVERSOS - Equipamentos em Comodato - IVP Semi Aberto</t>
  </si>
  <si>
    <t>SERVIÇOS DIVERSOS - Equipamentos em Comodato - DVR 16 Canais</t>
  </si>
  <si>
    <t>SERVIÇOS DIVERSOS - Equipamentos em Comodato - DVR 8 Canais</t>
  </si>
  <si>
    <t>SERVIÇOS DIVERSOS - Equipamentos em Comodato - HD 2 TB</t>
  </si>
  <si>
    <t>SERVIÇOS DIVERSOS - Equipamentos em Comodato - Câmera</t>
  </si>
  <si>
    <t>SERVIÇOS DIVERSOS - Equipamentos em Comodato - Nobreak 1200va</t>
  </si>
  <si>
    <t>SERVIÇOS DIVERSOS - Equipamentos em Comodato - Monitor 21,5"</t>
  </si>
  <si>
    <t>SERVIÇOS DIVERSOS - Equipamentos em Comodato - Roteador 300 mbps 3G</t>
  </si>
  <si>
    <t>Número do item</t>
  </si>
  <si>
    <t>Tipo do item</t>
  </si>
  <si>
    <t>Secretaria ou orgão requisitante</t>
  </si>
  <si>
    <t>Pacote 500g</t>
  </si>
  <si>
    <t>Alimentação</t>
  </si>
  <si>
    <t>Segurança Municipal</t>
  </si>
  <si>
    <t>Pacote 1kg</t>
  </si>
  <si>
    <t>Galão d'água</t>
  </si>
  <si>
    <t>Galão 20 litros</t>
  </si>
  <si>
    <t>Filtro de papel</t>
  </si>
  <si>
    <t>Pacote 30 unid.</t>
  </si>
  <si>
    <t>Margarina</t>
  </si>
  <si>
    <t>Pote 400g</t>
  </si>
  <si>
    <t>Pão</t>
  </si>
  <si>
    <t>KG - Média de 75 kg ao mês</t>
  </si>
  <si>
    <t>Copo descartável</t>
  </si>
  <si>
    <t>Embalagem 100 unid. 180ml.</t>
  </si>
  <si>
    <t>Embalagem 500 folhas</t>
  </si>
  <si>
    <t>Postites</t>
  </si>
  <si>
    <t>Embalagem 04unid. 100folhas cada</t>
  </si>
  <si>
    <t>Fita adesiva</t>
  </si>
  <si>
    <t>Caderno ata</t>
  </si>
  <si>
    <t>Pasta papel pardo</t>
  </si>
  <si>
    <t>Caneta (azul-preta-vermelha)</t>
  </si>
  <si>
    <t>Embalagem 50 unid.</t>
  </si>
  <si>
    <t>Tinta para carimbo</t>
  </si>
  <si>
    <t>Almofada para carimbo</t>
  </si>
  <si>
    <t>Clipes</t>
  </si>
  <si>
    <t>Caixa 500 unid.</t>
  </si>
  <si>
    <t>Grampos</t>
  </si>
  <si>
    <t>Embalagem 5.000 unid.</t>
  </si>
  <si>
    <t>Corretivo (líquido)</t>
  </si>
  <si>
    <t>Tesoura</t>
  </si>
  <si>
    <t>Cadeira</t>
  </si>
  <si>
    <t>Lápis</t>
  </si>
  <si>
    <t>Pen drive</t>
  </si>
  <si>
    <t>Marcador de quadro branco</t>
  </si>
  <si>
    <t>Embalagem 12 unid.</t>
  </si>
  <si>
    <t>Furador de papel</t>
  </si>
  <si>
    <t>Grampo plástico (processo)</t>
  </si>
  <si>
    <t>Embalagem com 50 unid.</t>
  </si>
  <si>
    <t>Embalagem 04 rolos</t>
  </si>
  <si>
    <t>RS600,00</t>
  </si>
  <si>
    <t>Galão 05 litros</t>
  </si>
  <si>
    <t>Garrafa 01 litro</t>
  </si>
  <si>
    <t xml:space="preserve">Rodo </t>
  </si>
  <si>
    <t>Pá</t>
  </si>
  <si>
    <t>Flanela</t>
  </si>
  <si>
    <t xml:space="preserve">Pano de chão </t>
  </si>
  <si>
    <t>Pano de prato</t>
  </si>
  <si>
    <t>Lixeira inox 50 litros</t>
  </si>
  <si>
    <t>Utensílios domésticos</t>
  </si>
  <si>
    <t>Saco de lixo tamanhos variados</t>
  </si>
  <si>
    <t>embalagem com 100unid.</t>
  </si>
  <si>
    <t>RS150,00</t>
  </si>
  <si>
    <t>Odorizador de ambiente</t>
  </si>
  <si>
    <t>Soda caustica</t>
  </si>
  <si>
    <t>Balde</t>
  </si>
  <si>
    <t>Luva de borracha (limpeza)</t>
  </si>
  <si>
    <t>Par</t>
  </si>
  <si>
    <t>Bota de PVC (limpeza)</t>
  </si>
  <si>
    <t>Armário de aço</t>
  </si>
  <si>
    <t>Eletrodomésticos</t>
  </si>
  <si>
    <t>Telefone</t>
  </si>
  <si>
    <t>Uniforme: Camisa, calça, bota, agasalho</t>
  </si>
  <si>
    <t>01 camisa; 01 calça; 01 par de botas; 01 agasalho</t>
  </si>
  <si>
    <t>Bandeiras (Município, Estado e País)</t>
  </si>
  <si>
    <t>Marmitex | Corpo de Bombeiros</t>
  </si>
  <si>
    <t>25 unid. por dia</t>
  </si>
  <si>
    <t>05 de Fevereiro de 2024</t>
  </si>
  <si>
    <t>Sim - Contrato 54/2019</t>
  </si>
  <si>
    <t>Sobremesa | Corpo de bombeiros</t>
  </si>
  <si>
    <t>Suco | Corpo de Bombeiros</t>
  </si>
  <si>
    <t>Botijão de gás P45</t>
  </si>
  <si>
    <t>Café - Manhã | Corpo de Bombeiros</t>
  </si>
  <si>
    <r>
      <t xml:space="preserve">15 unid. (Manhã)/ Todos os dias.         </t>
    </r>
    <r>
      <rPr>
        <b/>
        <sz val="11"/>
        <color theme="1"/>
        <rFont val="Calibri"/>
        <family val="2"/>
        <scheme val="minor"/>
      </rPr>
      <t xml:space="preserve">               </t>
    </r>
  </si>
  <si>
    <t>12 de Fevereiro de 2024</t>
  </si>
  <si>
    <t>Sim - Contrato 57/2019</t>
  </si>
  <si>
    <t>Café - Tarde | Corpo de Bombeiros</t>
  </si>
  <si>
    <r>
      <t xml:space="preserve">15 unid. (Tarde)/ Todos os dias.         </t>
    </r>
    <r>
      <rPr>
        <b/>
        <sz val="11"/>
        <color theme="1"/>
        <rFont val="Calibri"/>
        <family val="2"/>
        <scheme val="minor"/>
      </rPr>
      <t xml:space="preserve">               </t>
    </r>
  </si>
  <si>
    <t>Limpeza do Corpo de Bombeiros</t>
  </si>
  <si>
    <t>Todos os dias</t>
  </si>
  <si>
    <t>01 de Janeiro de 2024</t>
  </si>
  <si>
    <t>Sim - Contrato 27/2019</t>
  </si>
  <si>
    <t>Purificador de Água</t>
  </si>
  <si>
    <t>Monitoramento (SEAL)</t>
  </si>
  <si>
    <t>01 unidade ao mês - Todos os dias - 24Hrs.</t>
  </si>
  <si>
    <t>09 de Outubro de 2024</t>
  </si>
  <si>
    <t>Sim - Contrato 200/2019</t>
  </si>
  <si>
    <t>Monitoramento (SECURE)</t>
  </si>
  <si>
    <t>20 de Abril de 2024</t>
  </si>
  <si>
    <t>Sim - Contrato 146/2021</t>
  </si>
  <si>
    <t>Impressões (Maquim)</t>
  </si>
  <si>
    <t>01 unidade ao mês - Número indeterminado de impressões ao mês</t>
  </si>
  <si>
    <t>Impressões</t>
  </si>
  <si>
    <t>10 de Maio de 2024</t>
  </si>
  <si>
    <t>Sim - Contrato 103/2020</t>
  </si>
  <si>
    <t xml:space="preserve">Combustível </t>
  </si>
  <si>
    <t>Posto de Gasolina</t>
  </si>
  <si>
    <t>Serviço de internet</t>
  </si>
  <si>
    <t>10 de Janeiro de 2024</t>
  </si>
  <si>
    <t>Sim - Contrato 04/2021</t>
  </si>
  <si>
    <t>Serviço de telefonia (corporativos)</t>
  </si>
  <si>
    <t>Comunicação</t>
  </si>
  <si>
    <t>Nâo</t>
  </si>
  <si>
    <t>10 de Novembro de 2024</t>
  </si>
  <si>
    <t>Sim - Contrato 17/2023</t>
  </si>
  <si>
    <t>Defesa Civil</t>
  </si>
  <si>
    <t>Câmera fotográfica</t>
  </si>
  <si>
    <t>Permanente/Contínuo</t>
  </si>
  <si>
    <t>Equipamento</t>
  </si>
  <si>
    <t>5 mil reais</t>
  </si>
  <si>
    <t xml:space="preserve">Drone </t>
  </si>
  <si>
    <t>Mochila tática 50L</t>
  </si>
  <si>
    <t>1400 reais</t>
  </si>
  <si>
    <t xml:space="preserve">Guincho Tifor  5,4t </t>
  </si>
  <si>
    <t>Notebook I5</t>
  </si>
  <si>
    <t>8 mil reais</t>
  </si>
  <si>
    <t xml:space="preserve">Desktop completo I5 </t>
  </si>
  <si>
    <t>7 mil reais</t>
  </si>
  <si>
    <t xml:space="preserve">Kit Datashow </t>
  </si>
  <si>
    <t>4 mil reais</t>
  </si>
  <si>
    <t>3 mil reais</t>
  </si>
  <si>
    <t>Mesa para reunião 3,20 X 1,20</t>
  </si>
  <si>
    <t>2 mil reais</t>
  </si>
  <si>
    <t>Cadeira de escritório Presidente base cromada com rodinha</t>
  </si>
  <si>
    <t>Cadeira de escritório comum</t>
  </si>
  <si>
    <t>2500 reais</t>
  </si>
  <si>
    <t xml:space="preserve">Armário de aço (duas portas) para escritório com chave </t>
  </si>
  <si>
    <t>Trena longa fita de PVC 50m</t>
  </si>
  <si>
    <t>200 reais</t>
  </si>
  <si>
    <t>Estante de aço</t>
  </si>
  <si>
    <t>2400 reais</t>
  </si>
  <si>
    <t>Armário roupeiro de aço 8 portas</t>
  </si>
  <si>
    <t>2300 reais</t>
  </si>
  <si>
    <t>Impressora multifuncional colorida</t>
  </si>
  <si>
    <t>Consumo/ Não contínuo</t>
  </si>
  <si>
    <t>600 reais</t>
  </si>
  <si>
    <t>Bebedouro de coluna galão</t>
  </si>
  <si>
    <t>800 reais</t>
  </si>
  <si>
    <t>Dispenser(Suporte) de copo descartável</t>
  </si>
  <si>
    <t>100 reais</t>
  </si>
  <si>
    <t>Quadro de aviso de cortiça</t>
  </si>
  <si>
    <t>Expediente / Escritório</t>
  </si>
  <si>
    <t>70 reais</t>
  </si>
  <si>
    <t>Mangueira de sucção de 25m (para tempos chuvosos)</t>
  </si>
  <si>
    <t>6000 reais</t>
  </si>
  <si>
    <t xml:space="preserve">Máscara com filtro para combate de incêndio </t>
  </si>
  <si>
    <t>10000 reais</t>
  </si>
  <si>
    <t xml:space="preserve">Balaclava de combate a incêndio </t>
  </si>
  <si>
    <t xml:space="preserve"> Modem Roteador Wi-fi </t>
  </si>
  <si>
    <t>300 reais</t>
  </si>
  <si>
    <t>Cafeteira</t>
  </si>
  <si>
    <t>150 reais</t>
  </si>
  <si>
    <t xml:space="preserve">Sanduicheira </t>
  </si>
  <si>
    <t>Fardamento da Defesa Civil</t>
  </si>
  <si>
    <t>Vestimenta</t>
  </si>
  <si>
    <t>20000 reais</t>
  </si>
  <si>
    <t>\Alto</t>
  </si>
  <si>
    <t>ALIMENTAÇÃO - CAFÉ DA MANHÃ E TARDE COMPLETO</t>
  </si>
  <si>
    <t>32 UNIDADES POR DIA</t>
  </si>
  <si>
    <t>ALIMENTAÇÃO</t>
  </si>
  <si>
    <t>ALIMENTAÇÃO - ALMOÇO  COMPLETO</t>
  </si>
  <si>
    <t>16 UNIDADES POR DIA</t>
  </si>
  <si>
    <t>ALIMENTAÇÃO - JANTAR COMPLETO</t>
  </si>
  <si>
    <t>VEICULO - TIPO 4x4  cabine dupla, com compartimento de carga- ADAPTAÇÕES E ACESSÓRIOS</t>
  </si>
  <si>
    <t>VEÍCULOS</t>
  </si>
  <si>
    <t>ADESIVO VEICULOS</t>
  </si>
  <si>
    <t>MERCADORIAS EM GERAL</t>
  </si>
  <si>
    <t>Guarda Civil Municipal</t>
  </si>
  <si>
    <t>PISTOLA CAL 9MM SEMI-AUTOMATICA</t>
  </si>
  <si>
    <t>ARMAMENTO</t>
  </si>
  <si>
    <t>Segurança Municipal/GCM</t>
  </si>
  <si>
    <t>ESPINGARDA CAL 12MM -ESP CBC MILITARY 3.0 RT 19"</t>
  </si>
  <si>
    <t xml:space="preserve">ARMAMENTO DE CHOQUE -Kit Elite do Dispositivo Elétrico Incapacitante </t>
  </si>
  <si>
    <t>Coldre para Dispositivo Elétrico incapacitante - polímero</t>
  </si>
  <si>
    <t xml:space="preserve">EQUIPAMENTO </t>
  </si>
  <si>
    <t xml:space="preserve"> Coldre de Porta cartucho para cartuchos - polímero</t>
  </si>
  <si>
    <t>Cartucho Plástico Cal. 12</t>
  </si>
  <si>
    <t xml:space="preserve">Espargidor Spray de Agente Pimenta </t>
  </si>
  <si>
    <t xml:space="preserve">Granada Lacrimogênea </t>
  </si>
  <si>
    <t xml:space="preserve"> CINTO TATICO MILITAR COM FIVELA</t>
  </si>
  <si>
    <t>COLDRE PISTOLA POLIMERO</t>
  </si>
  <si>
    <t xml:space="preserve"> PORTA ALGEMA POLIMERO</t>
  </si>
  <si>
    <t>PORTA CARREGADOR DUPLO</t>
  </si>
  <si>
    <t>PORTA LANTERNA MODULAR</t>
  </si>
  <si>
    <t>PORTA ESPARGIDOR</t>
  </si>
  <si>
    <t>CONSUMIO</t>
  </si>
  <si>
    <t xml:space="preserve"> BORNAL</t>
  </si>
  <si>
    <t>MUNIÇÃO REAL PISTOLA 9MM</t>
  </si>
  <si>
    <t>MUNIÇÕES</t>
  </si>
  <si>
    <t>MUNIÇÃO TREINI PISTOLA 9MM</t>
  </si>
  <si>
    <t>MUNIÇÃO TREINI REVOLVER  38</t>
  </si>
  <si>
    <t>MUNIÇÃO REAL REVOLVER CAL 38</t>
  </si>
  <si>
    <t>MUNIÇÃO TREINI PISTOLA CAL 380</t>
  </si>
  <si>
    <t>MUNIÇÃO REAL PISTOLA CAL 380</t>
  </si>
  <si>
    <t>MUNIÇÃO REAL ESPINGARDA CAL 12MM</t>
  </si>
  <si>
    <t>MUNIÇÃO TREINI ESPINGARDA CAL 12MM ELASTOMERO</t>
  </si>
  <si>
    <t>Ainda não há contrato</t>
  </si>
  <si>
    <t>CHUVEIRO</t>
  </si>
  <si>
    <t>ELETRODOMÉSTICOS</t>
  </si>
  <si>
    <t>VENTILADOR</t>
  </si>
  <si>
    <t>CAMA TIPO BELICHE</t>
  </si>
  <si>
    <t>MÓVEIS</t>
  </si>
  <si>
    <t xml:space="preserve">COLCHÃO ESPUMA </t>
  </si>
  <si>
    <t>DRONE - PROFISSIONAL</t>
  </si>
  <si>
    <t>VEICULO - TIPO SUV - ADAPTAÇÕES E ACESSÓRIOS</t>
  </si>
  <si>
    <t>VEICULO - TIPO MOTOCICLETA</t>
  </si>
  <si>
    <t>BICICLETA - ARO 29</t>
  </si>
  <si>
    <t>UNIFORME - CAMISA LISA</t>
  </si>
  <si>
    <t>VESTIMENTA</t>
  </si>
  <si>
    <t>UNIFORME - CAMISA GANDOLA DE MANGA LONGA</t>
  </si>
  <si>
    <t>UNIFORME - CAMISA MISTA</t>
  </si>
  <si>
    <t>UNIFORME - CALÇA TÁTICA</t>
  </si>
  <si>
    <t>UNIFORME - CALÇA TATICA GTAM</t>
  </si>
  <si>
    <t>UNIFORME - BERMUDA DE BIKE</t>
  </si>
  <si>
    <t>UNIFORME - BERMUDA DE ATIVIDADE FISICA</t>
  </si>
  <si>
    <t>UNIFORME - BLUSA DE FRIO</t>
  </si>
  <si>
    <t>UNIFORME - BLUSA DE FRIO GTAM</t>
  </si>
  <si>
    <t>BOTA TIPO COTURNO COM PALMILHA DE GEL</t>
  </si>
  <si>
    <t>BOTA TIPO COTURNO GTAM</t>
  </si>
  <si>
    <t>UNIFORME - COBERTURA</t>
  </si>
  <si>
    <t>UNIFORME - TARGETA DE IDENTIFICAÇÃO</t>
  </si>
  <si>
    <t>UNIFORME - MEIA PRETA CANO ALTO</t>
  </si>
  <si>
    <t>BORNAL BOLSO MODULAR</t>
  </si>
  <si>
    <t>BRASÕES</t>
  </si>
  <si>
    <t>DISTINTIVO</t>
  </si>
  <si>
    <t>INSIGNIA</t>
  </si>
  <si>
    <t>CINTO AZUL</t>
  </si>
  <si>
    <t>Fivela Rolete Guarda Civil</t>
  </si>
  <si>
    <t>TONFA</t>
  </si>
  <si>
    <t>ALGEMA</t>
  </si>
  <si>
    <t>PLACA DE COLETE BALISTICO</t>
  </si>
  <si>
    <t>CAPA DE COLETE TATICO MODULAR</t>
  </si>
  <si>
    <t>RÁDIO COMUNICAÇÃO</t>
  </si>
  <si>
    <t>COMUNICAÇÃO</t>
  </si>
  <si>
    <t>PORTA RÁDIO MODULAR</t>
  </si>
  <si>
    <t>TABLETE</t>
  </si>
  <si>
    <t>PRANCHETA</t>
  </si>
  <si>
    <t>EXPEDIENTE / ESCRITÓRIO</t>
  </si>
  <si>
    <t>CANETA PRETA</t>
  </si>
  <si>
    <t>CX 25</t>
  </si>
  <si>
    <t>CANETA AZUL</t>
  </si>
  <si>
    <t>SULFITE</t>
  </si>
  <si>
    <t>CX 10</t>
  </si>
  <si>
    <t>KIT EMERGENCIAL 4 EM 1 - AUXILIAR DE PARTIDA</t>
  </si>
  <si>
    <t>BOTA TATICA PARA CICLISMO</t>
  </si>
  <si>
    <t>LANTERNA TATICA</t>
  </si>
  <si>
    <t>CONJUNTO TÉRMICO SEGUNDA PELE</t>
  </si>
  <si>
    <t>BRAÇAL</t>
  </si>
  <si>
    <t>BOINA</t>
  </si>
  <si>
    <t>COBERTURA  GTAM</t>
  </si>
  <si>
    <t>COBERTURA BIKE</t>
  </si>
  <si>
    <t>CAPACETE BIKE</t>
  </si>
  <si>
    <t>CAPACETE GTAM</t>
  </si>
  <si>
    <t>LUVA BIKE</t>
  </si>
  <si>
    <t>LUVA GTAM</t>
  </si>
  <si>
    <t>ARMARIOS</t>
  </si>
  <si>
    <t>INTER COMUNICADOR PARA CAPACETES</t>
  </si>
  <si>
    <t>BANDOLEIRA CAL 12MM</t>
  </si>
  <si>
    <t>PRESILHA DE CINTO</t>
  </si>
  <si>
    <t>SHAMPOO</t>
  </si>
  <si>
    <t>PRETINHO</t>
  </si>
  <si>
    <t>SILICONE</t>
  </si>
  <si>
    <t>LUVA DE MICROFIBRA</t>
  </si>
  <si>
    <t>ASPIRADOR</t>
  </si>
  <si>
    <t>LAVADORA DE ALTA PRESSÃO - VAPE</t>
  </si>
  <si>
    <t>LUBRIFICANTE CORRENTE MOTOCICLETA</t>
  </si>
  <si>
    <t>LUBRIFICANTE CORRENTE BIKE</t>
  </si>
  <si>
    <t>KIT DE MANUTENÇÃO DE ARMAMENTO</t>
  </si>
  <si>
    <t>OCULOS DE PROTEÇÃO</t>
  </si>
  <si>
    <t>ALVO</t>
  </si>
  <si>
    <t>OMBREIRA</t>
  </si>
  <si>
    <t>ABAFADOR</t>
  </si>
  <si>
    <t>GRAMPEADOR DE MADEIRA</t>
  </si>
  <si>
    <t>GRAMPO PARA GRAMP MADEIRA</t>
  </si>
  <si>
    <t>ESCUDO BAL - CDC</t>
  </si>
  <si>
    <t>CANELERIA - CDC</t>
  </si>
  <si>
    <t>CASSSETETE - CDC</t>
  </si>
  <si>
    <t>PROTETOR SOLAR</t>
  </si>
  <si>
    <t>COSMÉTICOS</t>
  </si>
  <si>
    <t>CAPACETE -CDC</t>
  </si>
  <si>
    <t>GRANADA - CDC</t>
  </si>
  <si>
    <t>GRANADA EFEITO MORAL - CDC</t>
  </si>
  <si>
    <t>BANDEIRA - BRASIL</t>
  </si>
  <si>
    <t>BANDEIRA - ESTADO DE SP</t>
  </si>
  <si>
    <t>BANDEIRA - MUNICIPIO DE LORENA</t>
  </si>
  <si>
    <t>BANDEIRA - GCM LORENA</t>
  </si>
  <si>
    <t>BAÚ DE MOTO</t>
  </si>
  <si>
    <t>PRANCHETA MOTO</t>
  </si>
  <si>
    <t>CANIVETE TATICO</t>
  </si>
  <si>
    <t>ESCADA - EXTENSÃO TELESCOPTICA</t>
  </si>
  <si>
    <t>PISTOLA DE TREINAMENTO - TIPO AIRSOFT</t>
  </si>
  <si>
    <t>MUNIÇÃO DE TREINAMENTO - AIRSOFT</t>
  </si>
  <si>
    <t>DESFIBRILADOR AUTOMATICO - DEA</t>
  </si>
  <si>
    <t>TORNIQUETE TATICO - APH</t>
  </si>
  <si>
    <t>CADEIRA DE PLASTICO</t>
  </si>
  <si>
    <t>CARIMBOS</t>
  </si>
  <si>
    <t>ESTILETE</t>
  </si>
  <si>
    <t>FIEL RETRATIL</t>
  </si>
  <si>
    <t>COFRE</t>
  </si>
  <si>
    <t>MURAL QUADRO MAGNETICO 3X1,5</t>
  </si>
  <si>
    <t>FUNCIONAL</t>
  </si>
  <si>
    <t>Genero alimenticio</t>
  </si>
  <si>
    <t xml:space="preserve">Alimentos </t>
  </si>
  <si>
    <t>1º/05/24</t>
  </si>
  <si>
    <t xml:space="preserve">Secretaria de Manutenção e Serviços Municipais </t>
  </si>
  <si>
    <t>Construçã e manutenção</t>
  </si>
  <si>
    <t>1º/06/24</t>
  </si>
  <si>
    <t>1º/03/24</t>
  </si>
  <si>
    <t>Rachão, Pedra Brita e Areia</t>
  </si>
  <si>
    <t>1º/02/2024</t>
  </si>
  <si>
    <t>Massa Asfaltica, BGS, Bica Corrida e Pó de Pedra</t>
  </si>
  <si>
    <t>Tonelda</t>
  </si>
  <si>
    <t>1º/06/2024</t>
  </si>
  <si>
    <t>Roçadeira</t>
  </si>
  <si>
    <t>Manutenção de Roçadeira</t>
  </si>
  <si>
    <t>1º/01/2024</t>
  </si>
  <si>
    <t>Gás de Cozinha</t>
  </si>
  <si>
    <t>Preparar alimento</t>
  </si>
  <si>
    <t>Saco de lixo</t>
  </si>
  <si>
    <t>1º/12/2024</t>
  </si>
  <si>
    <t>Desengraxante</t>
  </si>
  <si>
    <t>Limpezas e Manutenção dos Rios</t>
  </si>
  <si>
    <t>hora</t>
  </si>
  <si>
    <t>Manutenção dos rios e da Cidade</t>
  </si>
  <si>
    <t>R$1.992,130,00</t>
  </si>
  <si>
    <t>1º/04/2024</t>
  </si>
  <si>
    <t>Limpezas de Bueiros</t>
  </si>
  <si>
    <t>Manutenção e limpezas de bueiros</t>
  </si>
  <si>
    <t>1º/10/2024</t>
  </si>
  <si>
    <t>Bateria de carro</t>
  </si>
  <si>
    <t>1º/05/2024</t>
  </si>
  <si>
    <t>1º/07/2024</t>
  </si>
  <si>
    <t>EPI</t>
  </si>
  <si>
    <t>Camistas, calças e bones</t>
  </si>
  <si>
    <t>Vivo</t>
  </si>
  <si>
    <t>1º/11/2024</t>
  </si>
  <si>
    <t>Limpeza Tercerizada</t>
  </si>
  <si>
    <t>Ton. Km. M². equipe e lts</t>
  </si>
  <si>
    <t>Limpeza e coletas de lixo</t>
  </si>
  <si>
    <t>Distribuidor de Agua</t>
  </si>
  <si>
    <t xml:space="preserve">Galão e garrafa </t>
  </si>
  <si>
    <t>Oleo Lubrificante p/ autos</t>
  </si>
  <si>
    <t>Tinta para demarcação viária a base de resina acrílica na cor branca</t>
  </si>
  <si>
    <t>balde</t>
  </si>
  <si>
    <t>Sinalização horizontal</t>
  </si>
  <si>
    <t>Secretaria de Trânsito e Transportes</t>
  </si>
  <si>
    <t>Tinta para demarcação viária a base de resina acrílica na cor amarela</t>
  </si>
  <si>
    <t>Tinta para demarcação viária a base de resina acrílica na cor vermelha</t>
  </si>
  <si>
    <t>Tinta para demarcação viária a base de resina acrílica na cor preta</t>
  </si>
  <si>
    <t>Tinta para demarcação viária a base de resina acrílica na cor azul</t>
  </si>
  <si>
    <t>Solvente para tinta para demarcação viária</t>
  </si>
  <si>
    <t>Abraçadeiras simples – chapa de aço galvanizado 0 de 2 ½</t>
  </si>
  <si>
    <t>Sinalização vertical</t>
  </si>
  <si>
    <t>Fita de aço galvanizada ¾ x 0,5mm</t>
  </si>
  <si>
    <t>Selos para fita de aço galvanizada de ¾ x 0,5mm</t>
  </si>
  <si>
    <t>Braquetes de aço galvanizado (as 1010/1020) dimensões (30x45</t>
  </si>
  <si>
    <t>Coluna simples cod. Pp 2.1/2 x 2.65 x 3600mm, chapa de aço s/ emenda e sem costura</t>
  </si>
  <si>
    <t>Cola bicomponente de fixação de tachas e tachões a base de resina poliester.</t>
  </si>
  <si>
    <t>Tacha a base de resina poliéster refletiva bidirecional, na cor amarela, com 01 pino de fixação e 02 retro-refletores embutidos no corpo.</t>
  </si>
  <si>
    <t>Tacha a base de resina poliéster refletiva bidirecional, na cor branca, com 01 pino de fixação e 02 retro-refletores embutidos no corpo.</t>
  </si>
  <si>
    <t>Tachão a base de resina poliéster refletiva bidirecional, na cor branca, com 02 pinos de fixação e 02 retro-refletores embutidos no corpo.</t>
  </si>
  <si>
    <t>Tachão a base de resina poliéster refletiva bidirecional, na cor amarela, com 02 pinos de fixação e 02 retro-refletores embutidos no corpo.</t>
  </si>
  <si>
    <t>Placa de sinalização viária confeccionada em chapa de aço 18, pintura eletrostática frente e verso, acabamento frontal totalmente refletivo com aplicação de película alta intensidade tipo III da ABNT 14644, com dimensões e modelos a serem definidos conforme a necessidade da SMTT de Lorena.</t>
  </si>
  <si>
    <t xml:space="preserve">Cone flexível </t>
  </si>
  <si>
    <t>Barrica</t>
  </si>
  <si>
    <t>Cavalete de plástico</t>
  </si>
  <si>
    <t>Fita zebrada amarelo/preto 200m</t>
  </si>
  <si>
    <t>Rolo de lã 20cm</t>
  </si>
  <si>
    <t>Cabo para rolo de lã</t>
  </si>
  <si>
    <t xml:space="preserve">Capacete para motoqueiro </t>
  </si>
  <si>
    <t>equipamento de segurança</t>
  </si>
  <si>
    <t>média</t>
  </si>
  <si>
    <t xml:space="preserve"> Manutenção semafórica</t>
  </si>
  <si>
    <t>meses</t>
  </si>
  <si>
    <t>Luva de latex</t>
  </si>
  <si>
    <t>Luva de segurança</t>
  </si>
  <si>
    <t>Óculos de proteção</t>
  </si>
  <si>
    <t>Protetor  de ouvidos tipo concha</t>
  </si>
  <si>
    <t>Filtro para máscara</t>
  </si>
  <si>
    <t>Máscara com filtro</t>
  </si>
  <si>
    <t>uniforme</t>
  </si>
  <si>
    <t>Boné</t>
  </si>
  <si>
    <t>Bota cano curto</t>
  </si>
  <si>
    <t>Bota cano longo</t>
  </si>
  <si>
    <t>Calça em tecido Rip Stop Cinza</t>
  </si>
  <si>
    <t>Capa de chuva para motociclista</t>
  </si>
  <si>
    <t>Manguito</t>
  </si>
  <si>
    <t xml:space="preserve">Tarjeta com nome </t>
  </si>
  <si>
    <t>Luva meio dedo para motociclista</t>
  </si>
  <si>
    <t>Calça culote em tecido Rip Stop cáqui</t>
  </si>
  <si>
    <t>Calça em tecido Rip Stop Cáqui</t>
  </si>
  <si>
    <t>Camiseta manga curta mista amarela/cáqui</t>
  </si>
  <si>
    <t>Camiseta manga curta amarela</t>
  </si>
  <si>
    <t>Camiseta manga curta cinza</t>
  </si>
  <si>
    <t>Camiseta manga longa amarela</t>
  </si>
  <si>
    <t>Camiseta manga longa cinza</t>
  </si>
  <si>
    <t>Jaqueta Cáqui</t>
  </si>
  <si>
    <t>Jaqueta cinza</t>
  </si>
  <si>
    <t>Jaqueta para motoqueiro</t>
  </si>
  <si>
    <t>Cinto</t>
  </si>
  <si>
    <t>administrativa</t>
  </si>
  <si>
    <t>Fita adesiva larga transparente</t>
  </si>
  <si>
    <t>Fita adesiva 18mm transparente</t>
  </si>
  <si>
    <t>Caneta para quadro branco</t>
  </si>
  <si>
    <t>Caneta esfereográfica</t>
  </si>
  <si>
    <t>Talão de AIT</t>
  </si>
  <si>
    <t>Fiscalização</t>
  </si>
  <si>
    <t>Talão de Notificação de veículo abandonado</t>
  </si>
  <si>
    <t>Talão de remoção de veículo abandonado</t>
  </si>
  <si>
    <t>Galão de água 20l</t>
  </si>
  <si>
    <t>material de consumo</t>
  </si>
  <si>
    <t>Água mieral 500ml com gás</t>
  </si>
  <si>
    <t>Água mieral 500ml sem gás</t>
  </si>
  <si>
    <t>Gás P13</t>
  </si>
  <si>
    <t>Açucar refinado 1kg</t>
  </si>
  <si>
    <t>Computadores</t>
  </si>
  <si>
    <t>Computador avançado</t>
  </si>
  <si>
    <t>administrativa/projeto</t>
  </si>
  <si>
    <t>Educação de Trânsito</t>
  </si>
  <si>
    <t>Projetor multimidia</t>
  </si>
  <si>
    <t>Livro de ata com 100 folhas</t>
  </si>
  <si>
    <t>Livro de protocolo</t>
  </si>
  <si>
    <t>Cola liquida</t>
  </si>
  <si>
    <t>Cola bastão 21g</t>
  </si>
  <si>
    <t>Régua plástica 30cm</t>
  </si>
  <si>
    <t>Tinta para carimbo azul</t>
  </si>
  <si>
    <t>Tinta para carimbo vermelha</t>
  </si>
  <si>
    <t>Bloco adesivo sortido com 100 com 4 blocos</t>
  </si>
  <si>
    <t>Envelope 25x35 branco</t>
  </si>
  <si>
    <t>Grampeador grande</t>
  </si>
  <si>
    <t>Grampeador médio</t>
  </si>
  <si>
    <t>Grampo 23/13</t>
  </si>
  <si>
    <t>Grampo 26/6</t>
  </si>
  <si>
    <t>Pen drive 8G</t>
  </si>
  <si>
    <t>Papel sulfite A4 500 folhas com 10 resmas</t>
  </si>
  <si>
    <t>Caixa de arquivo morto</t>
  </si>
  <si>
    <t>Pasta suspensa com 50 unidades</t>
  </si>
  <si>
    <t>Carimbo 1 linha</t>
  </si>
  <si>
    <t>Carimbo 2 linhas</t>
  </si>
  <si>
    <t>Saco para lixo 110 L</t>
  </si>
  <si>
    <t>Capa de processo amarela</t>
  </si>
  <si>
    <t>Serviço de telefonia fixa</t>
  </si>
  <si>
    <t>serviço de telefonia</t>
  </si>
  <si>
    <t>Serviço de telefonia móvel</t>
  </si>
  <si>
    <t>serviço de internet</t>
  </si>
  <si>
    <t>Serviço de videomonitoramento por cameras</t>
  </si>
  <si>
    <t>serviço de segurança</t>
  </si>
  <si>
    <t>combustível</t>
  </si>
  <si>
    <t>Veículo de carga - Tipo caminhonete</t>
  </si>
  <si>
    <t>Serviço de impressão</t>
  </si>
  <si>
    <t>Serviço de manutenção de radio comunicação</t>
  </si>
  <si>
    <t>comunicação</t>
  </si>
  <si>
    <t>Serviço de instalação de ar condicionado</t>
  </si>
  <si>
    <t>Serviço de manutenção de ar condicionado</t>
  </si>
  <si>
    <t>Serviço de fornecimento de água (Sabesp)</t>
  </si>
  <si>
    <t>necessidade básica</t>
  </si>
  <si>
    <t>Serviço de fornecimento de energia elétrica (EDP)</t>
  </si>
  <si>
    <t>Sede da SMTT</t>
  </si>
  <si>
    <t>Serviço de manutenção semafórica</t>
  </si>
  <si>
    <t>Sinalização semafórica</t>
  </si>
  <si>
    <t>higiene</t>
  </si>
  <si>
    <t>Detergente 5l</t>
  </si>
  <si>
    <t>Água sanitária 5l</t>
  </si>
  <si>
    <t>Sabão em pó 1kg</t>
  </si>
  <si>
    <t>Sabonete líquido 5l</t>
  </si>
  <si>
    <t>Clips</t>
  </si>
  <si>
    <t>Desinfetante 5l</t>
  </si>
  <si>
    <t>Copo descartável 200ml</t>
  </si>
  <si>
    <t>Rebaixo de guias</t>
  </si>
  <si>
    <t>acessibilidade/mobilidade urbana</t>
  </si>
  <si>
    <t>Aquisições para Educação no trânsito (Cartilhas, adesivos, entre outros)</t>
  </si>
  <si>
    <t>conjunto</t>
  </si>
  <si>
    <t>material para educação</t>
  </si>
  <si>
    <t>Vassoura piassava</t>
  </si>
  <si>
    <t>Vassoura de pelo</t>
  </si>
  <si>
    <t>Vassourão</t>
  </si>
  <si>
    <t>Pá de lixo</t>
  </si>
  <si>
    <t>Vassoura lavatina</t>
  </si>
  <si>
    <t>Notebook...</t>
  </si>
  <si>
    <t>12.00,00</t>
  </si>
  <si>
    <t>Secretaria de Turismo</t>
  </si>
  <si>
    <t>carro</t>
  </si>
  <si>
    <t xml:space="preserve">Sim - </t>
  </si>
  <si>
    <t>armario de escritorio</t>
  </si>
  <si>
    <t>sala da secretaria</t>
  </si>
  <si>
    <t>Medio</t>
  </si>
  <si>
    <t>arquivo de escritorio</t>
  </si>
  <si>
    <t>pratileira</t>
  </si>
  <si>
    <t>sala de aruivo</t>
  </si>
  <si>
    <t>mouse</t>
  </si>
  <si>
    <t>computador</t>
  </si>
  <si>
    <t>SIM - 2376/23</t>
  </si>
  <si>
    <t>impressora</t>
  </si>
  <si>
    <t>Sim -</t>
  </si>
  <si>
    <t>cadeiras ergonomica</t>
  </si>
  <si>
    <t>sala de secretaria</t>
  </si>
  <si>
    <t>mesa de escritorio</t>
  </si>
  <si>
    <t>geladeira/ou frigobar</t>
  </si>
  <si>
    <t>cozinha</t>
  </si>
  <si>
    <t>ar condicionado</t>
  </si>
  <si>
    <t>salas</t>
  </si>
  <si>
    <t>mesa de reuniao</t>
  </si>
  <si>
    <t>sala</t>
  </si>
  <si>
    <t>cavaletes</t>
  </si>
  <si>
    <t>exposição</t>
  </si>
  <si>
    <t>maquina fotografica</t>
  </si>
  <si>
    <t>registros</t>
  </si>
  <si>
    <t>cesto de lixo grande 60 litros</t>
  </si>
  <si>
    <t>descarte de lixos</t>
  </si>
  <si>
    <t>cesto de lixo grande 40 litros</t>
  </si>
  <si>
    <t xml:space="preserve">cesto de lixo pequenos </t>
  </si>
  <si>
    <t>porta canetas</t>
  </si>
  <si>
    <t>escritorio</t>
  </si>
  <si>
    <t>transformador</t>
  </si>
  <si>
    <t>cadeiras de espera</t>
  </si>
  <si>
    <t>cadeiras para mesa de reuniao</t>
  </si>
  <si>
    <t>sala de escritorio</t>
  </si>
  <si>
    <t>quadro de aviso</t>
  </si>
  <si>
    <t>relogio de parede grande</t>
  </si>
  <si>
    <t>sala/recpçao</t>
  </si>
  <si>
    <t>aparelho telefone</t>
  </si>
  <si>
    <t>canetas</t>
  </si>
  <si>
    <t>lapis</t>
  </si>
  <si>
    <t xml:space="preserve">sim </t>
  </si>
  <si>
    <t xml:space="preserve">borrachas </t>
  </si>
  <si>
    <t>canetas marca texto</t>
  </si>
  <si>
    <t>folha de sulfite A4</t>
  </si>
  <si>
    <t>material de divulgação/grafica</t>
  </si>
  <si>
    <t>divulgação</t>
  </si>
  <si>
    <t>sim - 466/22</t>
  </si>
  <si>
    <t>banner do logo da secretaria</t>
  </si>
  <si>
    <t>clips</t>
  </si>
  <si>
    <t>capa para processo</t>
  </si>
  <si>
    <t>furador</t>
  </si>
  <si>
    <t>grampeador</t>
  </si>
  <si>
    <t>regua</t>
  </si>
  <si>
    <t>001/02/24</t>
  </si>
  <si>
    <t>tesoura</t>
  </si>
  <si>
    <t>internet</t>
  </si>
  <si>
    <t>kb/ano</t>
  </si>
  <si>
    <t>saco de lixo</t>
  </si>
  <si>
    <t>sala/lixos</t>
  </si>
  <si>
    <t>sim- 514/22</t>
  </si>
  <si>
    <t>po de café</t>
  </si>
  <si>
    <t>sim - 66/22</t>
  </si>
  <si>
    <t>diversos</t>
  </si>
  <si>
    <t>sim- 105/22</t>
  </si>
  <si>
    <t>palco/tenda/banheiro quimico</t>
  </si>
  <si>
    <t>sim - 169/22</t>
  </si>
  <si>
    <t>telao/jogo de mesa</t>
  </si>
  <si>
    <t>caixa de som p/ microfones</t>
  </si>
  <si>
    <t>eventos</t>
  </si>
  <si>
    <t>microfone</t>
  </si>
  <si>
    <t>sonorização/gerador/iluminação</t>
  </si>
  <si>
    <t>padaria</t>
  </si>
  <si>
    <t>lanches</t>
  </si>
  <si>
    <t>sim - 613/23</t>
  </si>
  <si>
    <t>agua</t>
  </si>
  <si>
    <t>aguas</t>
  </si>
  <si>
    <t>sim - 167/22</t>
  </si>
  <si>
    <t>bebedouro para galao</t>
  </si>
  <si>
    <t>800.00</t>
  </si>
  <si>
    <t>bebedouro de agua pluvial</t>
  </si>
  <si>
    <t>brigadista</t>
  </si>
  <si>
    <t>sim - 241/22</t>
  </si>
  <si>
    <t>segurança não armada</t>
  </si>
  <si>
    <t>controlador de acesso</t>
  </si>
  <si>
    <t>papelaria em geral</t>
  </si>
  <si>
    <t>15.00,00</t>
  </si>
  <si>
    <t xml:space="preserve">transmissao televisiva </t>
  </si>
  <si>
    <t>hora/ano</t>
  </si>
  <si>
    <t>sim - 6564/24</t>
  </si>
  <si>
    <t>cafeteira</t>
  </si>
  <si>
    <t>600.00</t>
  </si>
  <si>
    <t>bandeja aco inox</t>
  </si>
  <si>
    <t>200.00</t>
  </si>
  <si>
    <t>jogo de copo</t>
  </si>
  <si>
    <t>jogo de chicaras</t>
  </si>
  <si>
    <t>jogo de colher para café</t>
  </si>
  <si>
    <t>100.00</t>
  </si>
  <si>
    <t>INFRAETRUTURA TURISTICA</t>
  </si>
  <si>
    <t>EVENTOS TURISTICO</t>
  </si>
  <si>
    <t>COPO DESCARTAVEL</t>
  </si>
  <si>
    <t>EVENTOS/cozinha</t>
  </si>
  <si>
    <t>PAPEL HIGIENICO</t>
  </si>
  <si>
    <t>BANHEIRO</t>
  </si>
  <si>
    <t>GUARDANAPO/PAPEL TOALHA</t>
  </si>
  <si>
    <t>Cozinha/BANHEIRO/EVENTOS</t>
  </si>
  <si>
    <t>MATERIAL DE LIMPEZA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</si>
</sst>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R$&quot;#,##0;[Red]\-&quot;R$&quot;#,##0"/>
    <numFmt numFmtId="8" formatCode="&quot;R$&quot;#,##0.00;[Red]\-&quot;R$&quot;#,##0.00"/>
    <numFmt numFmtId="44" formatCode="_-&quot;R$&quot;* #,##0.00_-;\-&quot;R$&quot;* #,##0.00_-;_-&quot;R$&quot;* &quot;-&quot;??_-;_-@_-"/>
    <numFmt numFmtId="164" formatCode="&quot;R$ &quot;#,##0.00"/>
    <numFmt numFmtId="165" formatCode="&quot;R$&quot;\ #,##0.00;[Red]\-&quot;R$&quot;\ #,##0.00"/>
    <numFmt numFmtId="166" formatCode="&quot;R$&quot;\ #,##0;[Red]\-&quot;R$&quot;\ #,##0"/>
    <numFmt numFmtId="167" formatCode="_-&quot;R$&quot;\ * #,##0.00_-;\-&quot;R$&quot;\ * #,##0.00_-;_-&quot;R$&quot;\ * &quot;-&quot;??_-;_-@_-"/>
    <numFmt numFmtId="168" formatCode="&quot;R$&quot;\ #,##0.00"/>
    <numFmt numFmtId="169" formatCode="[$R$-416]\ #,##0.00"/>
    <numFmt numFmtId="170" formatCode="_-&quot;R$&quot;\ * #,##0.000_-;\-&quot;R$&quot;\ * #,##0.000_-;_-&quot;R$&quot;\ * &quot;-&quot;??_-;_-@_-"/>
    <numFmt numFmtId="171" formatCode="_-&quot;R$&quot;\ * #,##0.0000_-;\-&quot;R$&quot;\ * #,##0.0000_-;_-&quot;R$&quot;\ * &quot;-&quot;??_-;_-@_-"/>
    <numFmt numFmtId="172" formatCode="&quot;R$ &quot;#,##0.00;[Red]&quot;-R$ &quot;#,##0.00"/>
    <numFmt numFmtId="173" formatCode="&quot;R$ &quot;#,##0;[Red]&quot;-R$ &quot;#,##0"/>
    <numFmt numFmtId="174" formatCode="[$R$-416]\ #,##0.00;[Red]\-[$R$-416]\ #,##0.00"/>
    <numFmt numFmtId="175" formatCode="&quot; &quot;[$R$-416]&quot; &quot;#,##0.00&quot; &quot;;&quot;-&quot;[$R$-416]&quot; &quot;#,##0.00&quot; &quot;;&quot; &quot;[$R$-416]&quot; -&quot;00&quot; &quot;;&quot; &quot;@&quot; &quot;"/>
    <numFmt numFmtId="176" formatCode="dd/mm/yy"/>
  </numFmts>
  <fonts count="50">
    <font>
      <sz val="11"/>
      <color theme="1"/>
      <name val="Calibri"/>
      <family val="2"/>
      <scheme val="minor"/>
    </font>
    <font>
      <b/>
      <sz val="11"/>
      <color theme="1"/>
      <name val="Calibri"/>
      <family val="2"/>
      <scheme val="minor"/>
    </font>
    <font>
      <sz val="14"/>
      <color theme="1"/>
      <name val="Calibri"/>
      <family val="2"/>
      <scheme val="minor"/>
    </font>
    <font>
      <sz val="26"/>
      <color theme="1"/>
      <name val="Calibri"/>
      <family val="2"/>
      <scheme val="minor"/>
    </font>
    <font>
      <b/>
      <sz val="24"/>
      <color theme="1"/>
      <name val="Calibri"/>
      <family val="2"/>
      <scheme val="minor"/>
    </font>
    <font>
      <sz val="24"/>
      <color theme="1"/>
      <name val="Calibri"/>
      <family val="2"/>
      <scheme val="minor"/>
    </font>
    <font>
      <sz val="11"/>
      <color theme="1"/>
      <name val="Calibri"/>
      <family val="2"/>
      <scheme val="minor"/>
    </font>
    <font>
      <sz val="11"/>
      <color rgb="FF9C5700"/>
      <name val="Calibri"/>
      <family val="2"/>
      <scheme val="minor"/>
    </font>
    <font>
      <b/>
      <sz val="10"/>
      <name val="Arial"/>
      <family val="2"/>
    </font>
    <font>
      <sz val="10"/>
      <name val="Arial"/>
      <family val="2"/>
    </font>
    <font>
      <sz val="11"/>
      <name val="Calibri"/>
      <family val="2"/>
      <scheme val="minor"/>
    </font>
    <font>
      <u/>
      <sz val="11"/>
      <color theme="1"/>
      <name val="Calibri"/>
      <family val="2"/>
      <scheme val="minor"/>
    </font>
    <font>
      <sz val="10"/>
      <color theme="1"/>
      <name val="Calibri"/>
      <family val="2"/>
      <scheme val="minor"/>
    </font>
    <font>
      <b/>
      <sz val="8"/>
      <color theme="1"/>
      <name val="Arial Black"/>
      <family val="2"/>
    </font>
    <font>
      <sz val="9"/>
      <color theme="1"/>
      <name val="Calibri"/>
      <family val="2"/>
      <scheme val="minor"/>
    </font>
    <font>
      <sz val="9"/>
      <color theme="1"/>
      <name val="Arial"/>
      <family val="2"/>
    </font>
    <font>
      <sz val="9"/>
      <color rgb="FF152942"/>
      <name val="Arial"/>
      <family val="2"/>
    </font>
    <font>
      <b/>
      <sz val="7"/>
      <color theme="1"/>
      <name val="Arial Black"/>
      <family val="2"/>
    </font>
    <font>
      <sz val="10"/>
      <color rgb="FF000000"/>
      <name val="Calibri"/>
      <family val="2"/>
      <scheme val="minor"/>
    </font>
    <font>
      <u/>
      <sz val="11"/>
      <color theme="10"/>
      <name val="Calibri"/>
      <family val="2"/>
      <scheme val="minor"/>
    </font>
    <font>
      <b/>
      <sz val="7"/>
      <color theme="1"/>
      <name val="Arial"/>
      <family val="2"/>
    </font>
    <font>
      <sz val="7"/>
      <color theme="1"/>
      <name val="Arial"/>
      <family val="2"/>
    </font>
    <font>
      <sz val="7"/>
      <color rgb="FF000000"/>
      <name val="Arial"/>
      <family val="2"/>
    </font>
    <font>
      <sz val="7"/>
      <name val="Arial"/>
      <family val="2"/>
    </font>
    <font>
      <b/>
      <sz val="9"/>
      <color indexed="81"/>
      <name val="Segoe UI"/>
      <family val="2"/>
    </font>
    <font>
      <sz val="9"/>
      <color indexed="81"/>
      <name val="Segoe UI"/>
      <family val="2"/>
    </font>
    <font>
      <sz val="8"/>
      <color indexed="81"/>
      <name val="Arial"/>
      <family val="2"/>
    </font>
    <font>
      <b/>
      <sz val="8"/>
      <color theme="1"/>
      <name val="Calibri"/>
      <family val="2"/>
      <scheme val="minor"/>
    </font>
    <font>
      <sz val="8"/>
      <color theme="1"/>
      <name val="Calibri"/>
      <family val="2"/>
      <scheme val="minor"/>
    </font>
    <font>
      <b/>
      <sz val="12"/>
      <name val="Calibri"/>
      <family val="2"/>
      <scheme val="minor"/>
    </font>
    <font>
      <sz val="9"/>
      <color indexed="81"/>
      <name val="Tahoma"/>
      <family val="2"/>
    </font>
    <font>
      <b/>
      <sz val="9"/>
      <color indexed="81"/>
      <name val="Tahoma"/>
      <family val="2"/>
    </font>
    <font>
      <sz val="11"/>
      <color rgb="FF404040"/>
      <name val="Calibri"/>
      <family val="2"/>
      <scheme val="minor"/>
    </font>
    <font>
      <sz val="11"/>
      <color rgb="FF212529"/>
      <name val="Calibri"/>
      <family val="2"/>
      <scheme val="minor"/>
    </font>
    <font>
      <b/>
      <sz val="11"/>
      <color rgb="FF000000"/>
      <name val="Calibri"/>
      <family val="2"/>
      <charset val="1"/>
    </font>
    <font>
      <b/>
      <sz val="10"/>
      <color theme="1"/>
      <name val="Calibri"/>
      <family val="2"/>
      <scheme val="minor"/>
    </font>
    <font>
      <sz val="10"/>
      <color rgb="FFFF0000"/>
      <name val="Calibri"/>
      <family val="2"/>
      <scheme val="minor"/>
    </font>
    <font>
      <sz val="10"/>
      <name val="Calibri"/>
      <family val="2"/>
      <scheme val="minor"/>
    </font>
    <font>
      <b/>
      <sz val="10"/>
      <color theme="1"/>
      <name val="Arial"/>
      <family val="2"/>
    </font>
    <font>
      <sz val="10"/>
      <color theme="1"/>
      <name val="Arial"/>
      <family val="2"/>
    </font>
    <font>
      <b/>
      <sz val="10"/>
      <color theme="0"/>
      <name val="Arial"/>
      <family val="2"/>
    </font>
    <font>
      <sz val="11"/>
      <color rgb="FF000000"/>
      <name val="Calibri"/>
      <family val="2"/>
      <charset val="1"/>
    </font>
    <font>
      <b/>
      <sz val="10"/>
      <color rgb="FF000000"/>
      <name val="Liberation Serif"/>
    </font>
    <font>
      <sz val="10"/>
      <color rgb="FF000000"/>
      <name val="Liberation Serif"/>
    </font>
    <font>
      <sz val="11"/>
      <color theme="1"/>
      <name val="Arial"/>
      <family val="2"/>
    </font>
    <font>
      <sz val="11"/>
      <color rgb="FF000000"/>
      <name val="Arial"/>
      <family val="2"/>
    </font>
    <font>
      <b/>
      <sz val="11"/>
      <name val="Calibri"/>
      <family val="2"/>
      <scheme val="minor"/>
    </font>
    <font>
      <b/>
      <sz val="14"/>
      <color theme="1"/>
      <name val="Calibri"/>
      <family val="2"/>
      <scheme val="minor"/>
    </font>
    <font>
      <sz val="12"/>
      <color theme="1"/>
      <name val="Times New Roman"/>
      <family val="1"/>
    </font>
    <font>
      <sz val="12"/>
      <name val="Times New Roman"/>
      <family val="1"/>
    </font>
  </fonts>
  <fills count="12">
    <fill>
      <patternFill patternType="none"/>
    </fill>
    <fill>
      <patternFill patternType="gray125"/>
    </fill>
    <fill>
      <patternFill patternType="solid">
        <fgColor rgb="FFFFEB9C"/>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4" fontId="6" fillId="0" borderId="0" applyFont="0" applyFill="0" applyBorder="0" applyAlignment="0" applyProtection="0"/>
    <xf numFmtId="0" fontId="7" fillId="2" borderId="0" applyNumberFormat="0" applyBorder="0" applyAlignment="0" applyProtection="0"/>
    <xf numFmtId="167" fontId="6" fillId="0" borderId="0" applyFont="0" applyFill="0" applyBorder="0" applyAlignment="0" applyProtection="0"/>
    <xf numFmtId="0" fontId="19" fillId="0" borderId="0" applyNumberFormat="0" applyFill="0" applyBorder="0" applyAlignment="0" applyProtection="0"/>
    <xf numFmtId="0" fontId="41" fillId="0" borderId="0"/>
  </cellStyleXfs>
  <cellXfs count="255">
    <xf numFmtId="0" fontId="0" fillId="0" borderId="0" xfId="0"/>
    <xf numFmtId="0" fontId="1" fillId="0" borderId="0" xfId="0" applyFont="1" applyAlignment="1">
      <alignment wrapText="1"/>
    </xf>
    <xf numFmtId="0" fontId="1" fillId="0" borderId="1" xfId="0" applyFont="1" applyBorder="1" applyAlignment="1">
      <alignment wrapText="1"/>
    </xf>
    <xf numFmtId="0" fontId="0" fillId="0" borderId="1" xfId="0" applyBorder="1" applyAlignment="1">
      <alignment wrapText="1"/>
    </xf>
    <xf numFmtId="14" fontId="0" fillId="0" borderId="1" xfId="0" applyNumberFormat="1" applyBorder="1" applyAlignment="1">
      <alignment wrapText="1"/>
    </xf>
    <xf numFmtId="164" fontId="0" fillId="0" borderId="1" xfId="0" applyNumberFormat="1" applyBorder="1" applyAlignment="1">
      <alignment wrapText="1"/>
    </xf>
    <xf numFmtId="0" fontId="0" fillId="0" borderId="0" xfId="0" applyAlignment="1">
      <alignment wrapText="1"/>
    </xf>
    <xf numFmtId="3" fontId="0" fillId="0" borderId="0" xfId="0" applyNumberFormat="1" applyAlignment="1">
      <alignment wrapText="1"/>
    </xf>
    <xf numFmtId="164" fontId="0" fillId="0" borderId="0" xfId="0" applyNumberFormat="1" applyAlignment="1">
      <alignment wrapText="1"/>
    </xf>
    <xf numFmtId="14" fontId="0" fillId="0" borderId="0" xfId="0" applyNumberFormat="1" applyAlignment="1">
      <alignment wrapText="1"/>
    </xf>
    <xf numFmtId="0" fontId="2" fillId="0" borderId="0" xfId="0" applyFont="1" applyAlignment="1">
      <alignment vertical="center" wrapText="1"/>
    </xf>
    <xf numFmtId="1" fontId="0" fillId="0" borderId="1" xfId="0" applyNumberFormat="1" applyBorder="1" applyAlignment="1">
      <alignment wrapText="1"/>
    </xf>
    <xf numFmtId="0" fontId="2" fillId="0" borderId="0" xfId="0" applyFont="1" applyAlignment="1">
      <alignment wrapText="1"/>
    </xf>
    <xf numFmtId="0" fontId="3" fillId="0" borderId="0" xfId="0" applyFont="1" applyAlignment="1">
      <alignment wrapText="1"/>
    </xf>
    <xf numFmtId="0" fontId="3" fillId="0" borderId="0" xfId="0" applyFont="1" applyAlignment="1">
      <alignment vertical="center" wrapText="1"/>
    </xf>
    <xf numFmtId="0" fontId="4" fillId="0" borderId="1" xfId="0" applyFont="1" applyBorder="1" applyAlignment="1">
      <alignment wrapText="1"/>
    </xf>
    <xf numFmtId="0" fontId="5" fillId="0" borderId="1" xfId="0" applyFont="1" applyBorder="1" applyAlignment="1">
      <alignment wrapText="1"/>
    </xf>
    <xf numFmtId="1" fontId="5" fillId="0" borderId="1" xfId="0" applyNumberFormat="1" applyFont="1" applyBorder="1" applyAlignment="1">
      <alignment wrapText="1"/>
    </xf>
    <xf numFmtId="164" fontId="5" fillId="0" borderId="1" xfId="0" applyNumberFormat="1" applyFont="1" applyBorder="1" applyAlignment="1">
      <alignment wrapText="1"/>
    </xf>
    <xf numFmtId="14" fontId="5" fillId="0" borderId="1" xfId="0" applyNumberFormat="1" applyFont="1" applyBorder="1" applyAlignment="1">
      <alignment wrapText="1"/>
    </xf>
    <xf numFmtId="0" fontId="8" fillId="0" borderId="1" xfId="0" applyFont="1" applyBorder="1" applyAlignment="1">
      <alignment horizontal="center" vertical="center" wrapText="1"/>
    </xf>
    <xf numFmtId="3"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3" fontId="9" fillId="0" borderId="1" xfId="0" applyNumberFormat="1" applyFont="1" applyBorder="1" applyAlignment="1">
      <alignment horizontal="center" vertical="center" wrapText="1"/>
    </xf>
    <xf numFmtId="165" fontId="9"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wrapText="1"/>
    </xf>
    <xf numFmtId="8" fontId="9" fillId="0" borderId="1" xfId="0" applyNumberFormat="1" applyFont="1" applyBorder="1" applyAlignment="1">
      <alignment horizontal="center" vertical="center" wrapText="1"/>
    </xf>
    <xf numFmtId="6" fontId="9" fillId="0" borderId="1"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165" fontId="0" fillId="0" borderId="1" xfId="0" applyNumberFormat="1" applyBorder="1" applyAlignment="1">
      <alignment wrapText="1"/>
    </xf>
    <xf numFmtId="0" fontId="0" fillId="3" borderId="1" xfId="0" applyFill="1" applyBorder="1" applyAlignment="1">
      <alignment wrapText="1"/>
    </xf>
    <xf numFmtId="1" fontId="0" fillId="3" borderId="1" xfId="0" applyNumberFormat="1" applyFill="1" applyBorder="1" applyAlignment="1">
      <alignment wrapText="1"/>
    </xf>
    <xf numFmtId="164" fontId="10" fillId="3" borderId="1" xfId="0" applyNumberFormat="1" applyFont="1" applyFill="1" applyBorder="1" applyAlignment="1">
      <alignment wrapText="1"/>
    </xf>
    <xf numFmtId="0" fontId="0" fillId="0" borderId="1" xfId="0" applyBorder="1" applyAlignment="1">
      <alignment horizontal="right"/>
    </xf>
    <xf numFmtId="164" fontId="0" fillId="3" borderId="1" xfId="0" applyNumberFormat="1" applyFill="1" applyBorder="1" applyAlignment="1">
      <alignment wrapText="1"/>
    </xf>
    <xf numFmtId="14" fontId="0" fillId="3" borderId="1" xfId="0" applyNumberFormat="1" applyFill="1" applyBorder="1" applyAlignment="1">
      <alignment wrapText="1"/>
    </xf>
    <xf numFmtId="0" fontId="1" fillId="0" borderId="1" xfId="0" applyFont="1" applyBorder="1" applyAlignment="1">
      <alignment horizontal="center" wrapText="1"/>
    </xf>
    <xf numFmtId="0" fontId="0" fillId="0" borderId="1" xfId="0" applyBorder="1" applyAlignment="1">
      <alignment horizontal="center" wrapText="1"/>
    </xf>
    <xf numFmtId="165" fontId="0" fillId="0" borderId="1" xfId="0" applyNumberFormat="1" applyBorder="1" applyAlignment="1">
      <alignment horizontal="center" wrapText="1"/>
    </xf>
    <xf numFmtId="14" fontId="0" fillId="0" borderId="1" xfId="0" applyNumberFormat="1" applyBorder="1" applyAlignment="1">
      <alignment horizontal="center" wrapText="1"/>
    </xf>
    <xf numFmtId="3" fontId="0" fillId="0" borderId="1" xfId="0" applyNumberFormat="1" applyBorder="1" applyAlignment="1">
      <alignment horizontal="center" wrapText="1"/>
    </xf>
    <xf numFmtId="166" fontId="0" fillId="0" borderId="1" xfId="0" applyNumberFormat="1" applyBorder="1" applyAlignment="1">
      <alignment horizontal="center" wrapText="1"/>
    </xf>
    <xf numFmtId="4" fontId="0" fillId="0" borderId="1" xfId="0" applyNumberFormat="1" applyBorder="1" applyAlignment="1">
      <alignment horizontal="center" wrapText="1"/>
    </xf>
    <xf numFmtId="165" fontId="11" fillId="0" borderId="1" xfId="0" applyNumberFormat="1" applyFont="1" applyBorder="1" applyAlignment="1">
      <alignment horizontal="center" wrapText="1"/>
    </xf>
    <xf numFmtId="0" fontId="20" fillId="0" borderId="3" xfId="0" applyFont="1" applyBorder="1" applyAlignment="1">
      <alignment horizontal="center" vertical="center" wrapText="1"/>
    </xf>
    <xf numFmtId="0" fontId="0" fillId="0" borderId="0" xfId="0" applyAlignment="1">
      <alignment horizontal="center"/>
    </xf>
    <xf numFmtId="0" fontId="0" fillId="0" borderId="1" xfId="0" applyBorder="1"/>
    <xf numFmtId="0" fontId="0" fillId="0" borderId="1" xfId="0" applyBorder="1" applyAlignment="1">
      <alignment horizontal="center"/>
    </xf>
    <xf numFmtId="0" fontId="12" fillId="0" borderId="1" xfId="0" applyFont="1" applyBorder="1" applyAlignment="1">
      <alignment horizontal="center"/>
    </xf>
    <xf numFmtId="0" fontId="13" fillId="4" borderId="1" xfId="0" applyFont="1" applyFill="1" applyBorder="1" applyAlignment="1">
      <alignment horizontal="center" wrapText="1"/>
    </xf>
    <xf numFmtId="0" fontId="1" fillId="5" borderId="1" xfId="0" applyFont="1" applyFill="1" applyBorder="1" applyAlignment="1">
      <alignment horizontal="center"/>
    </xf>
    <xf numFmtId="0" fontId="12" fillId="0" borderId="1" xfId="0" applyFont="1" applyBorder="1"/>
    <xf numFmtId="3" fontId="12" fillId="0" borderId="1" xfId="0" applyNumberFormat="1" applyFont="1" applyBorder="1" applyAlignment="1">
      <alignment horizontal="center"/>
    </xf>
    <xf numFmtId="167" fontId="12" fillId="0" borderId="1" xfId="3" applyFont="1" applyBorder="1" applyAlignment="1">
      <alignment horizontal="left"/>
    </xf>
    <xf numFmtId="168" fontId="12" fillId="0" borderId="1" xfId="0" applyNumberFormat="1" applyFont="1" applyBorder="1" applyAlignment="1">
      <alignment horizontal="center"/>
    </xf>
    <xf numFmtId="0" fontId="14" fillId="0" borderId="1" xfId="0" applyFont="1" applyBorder="1" applyAlignment="1">
      <alignment horizontal="center"/>
    </xf>
    <xf numFmtId="0" fontId="15" fillId="0" borderId="1" xfId="0" applyFont="1" applyBorder="1" applyAlignment="1">
      <alignment horizontal="center"/>
    </xf>
    <xf numFmtId="0" fontId="16" fillId="0" borderId="1" xfId="0" applyFont="1" applyBorder="1" applyAlignment="1">
      <alignment horizontal="center"/>
    </xf>
    <xf numFmtId="0" fontId="15" fillId="0" borderId="2" xfId="0" applyFont="1" applyBorder="1" applyAlignment="1">
      <alignment horizontal="center"/>
    </xf>
    <xf numFmtId="0" fontId="17" fillId="4" borderId="1" xfId="0" applyFont="1" applyFill="1" applyBorder="1" applyAlignment="1">
      <alignment horizontal="center" wrapText="1"/>
    </xf>
    <xf numFmtId="0" fontId="15" fillId="0" borderId="1" xfId="0" applyFont="1" applyBorder="1" applyAlignment="1">
      <alignment horizontal="center" wrapText="1"/>
    </xf>
    <xf numFmtId="168" fontId="12" fillId="0" borderId="1" xfId="0" applyNumberFormat="1" applyFont="1" applyBorder="1" applyAlignment="1">
      <alignment vertical="center"/>
    </xf>
    <xf numFmtId="168" fontId="12" fillId="0" borderId="1" xfId="0" applyNumberFormat="1" applyFont="1" applyBorder="1" applyAlignment="1">
      <alignment horizontal="right"/>
    </xf>
    <xf numFmtId="0" fontId="6" fillId="0" borderId="0" xfId="0" applyFont="1" applyAlignment="1">
      <alignment horizontal="center"/>
    </xf>
    <xf numFmtId="168" fontId="12" fillId="0" borderId="1" xfId="3" applyNumberFormat="1" applyFont="1" applyBorder="1" applyAlignment="1">
      <alignment vertical="center"/>
    </xf>
    <xf numFmtId="168" fontId="12" fillId="0" borderId="1" xfId="3" applyNumberFormat="1" applyFont="1" applyBorder="1" applyAlignment="1"/>
    <xf numFmtId="168" fontId="0" fillId="0" borderId="1" xfId="0" applyNumberFormat="1" applyBorder="1"/>
    <xf numFmtId="0" fontId="13" fillId="4" borderId="1" xfId="0" applyFont="1" applyFill="1" applyBorder="1" applyAlignment="1">
      <alignment horizontal="right" wrapText="1"/>
    </xf>
    <xf numFmtId="168" fontId="12" fillId="0" borderId="1" xfId="3" applyNumberFormat="1" applyFont="1" applyBorder="1" applyAlignment="1">
      <alignment horizontal="right"/>
    </xf>
    <xf numFmtId="169" fontId="12" fillId="0" borderId="1" xfId="3" applyNumberFormat="1" applyFont="1" applyBorder="1" applyAlignment="1">
      <alignment horizontal="right"/>
    </xf>
    <xf numFmtId="0" fontId="12" fillId="0" borderId="1" xfId="0" applyFont="1" applyBorder="1" applyAlignment="1">
      <alignment horizontal="center" wrapText="1"/>
    </xf>
    <xf numFmtId="0" fontId="14" fillId="5" borderId="1" xfId="0" applyFont="1" applyFill="1" applyBorder="1" applyAlignment="1">
      <alignment horizontal="center" wrapText="1"/>
    </xf>
    <xf numFmtId="0" fontId="12" fillId="5" borderId="1" xfId="0" applyFont="1" applyFill="1" applyBorder="1" applyAlignment="1">
      <alignment horizontal="center" wrapText="1"/>
    </xf>
    <xf numFmtId="0" fontId="18" fillId="0" borderId="1" xfId="0" applyFont="1" applyBorder="1" applyAlignment="1">
      <alignment horizontal="center" vertical="center" wrapText="1"/>
    </xf>
    <xf numFmtId="49" fontId="20" fillId="0" borderId="4" xfId="0" applyNumberFormat="1" applyFont="1" applyBorder="1" applyAlignment="1">
      <alignment horizontal="left" vertical="center" wrapText="1"/>
    </xf>
    <xf numFmtId="0" fontId="20" fillId="0" borderId="4" xfId="0" applyFont="1" applyBorder="1" applyAlignment="1">
      <alignment horizontal="center" vertical="center" wrapText="1"/>
    </xf>
    <xf numFmtId="3" fontId="20" fillId="0" borderId="4" xfId="0" applyNumberFormat="1" applyFont="1" applyBorder="1" applyAlignment="1">
      <alignment horizontal="center" vertical="center" wrapText="1"/>
    </xf>
    <xf numFmtId="167" fontId="20" fillId="0" borderId="4" xfId="3" applyFont="1" applyBorder="1" applyAlignment="1">
      <alignment horizontal="center" vertical="center" wrapText="1"/>
    </xf>
    <xf numFmtId="14" fontId="20" fillId="0" borderId="4" xfId="0" applyNumberFormat="1" applyFont="1" applyBorder="1" applyAlignment="1">
      <alignment horizontal="center" vertical="center" wrapText="1"/>
    </xf>
    <xf numFmtId="49" fontId="20" fillId="0" borderId="5" xfId="0" applyNumberFormat="1" applyFont="1" applyBorder="1" applyAlignment="1">
      <alignment horizontal="center" vertical="center" wrapText="1"/>
    </xf>
    <xf numFmtId="0" fontId="20" fillId="0" borderId="5" xfId="0" applyFont="1" applyBorder="1" applyAlignment="1">
      <alignment horizontal="center" vertical="center" wrapText="1"/>
    </xf>
    <xf numFmtId="0" fontId="20" fillId="0" borderId="1" xfId="0" applyFont="1" applyBorder="1" applyAlignment="1">
      <alignment horizontal="center" vertical="center" wrapText="1"/>
    </xf>
    <xf numFmtId="49" fontId="21" fillId="0" borderId="1" xfId="0" applyNumberFormat="1" applyFont="1" applyBorder="1" applyAlignment="1">
      <alignment horizontal="left" vertical="center" wrapText="1"/>
    </xf>
    <xf numFmtId="0" fontId="21" fillId="0" borderId="1" xfId="0" applyFont="1" applyBorder="1" applyAlignment="1">
      <alignment horizontal="center" vertical="center" wrapText="1"/>
    </xf>
    <xf numFmtId="3" fontId="21" fillId="0" borderId="1" xfId="0" applyNumberFormat="1" applyFont="1" applyBorder="1" applyAlignment="1">
      <alignment horizontal="center" vertical="center" wrapText="1"/>
    </xf>
    <xf numFmtId="167" fontId="21" fillId="0" borderId="1" xfId="3" applyFont="1" applyBorder="1" applyAlignment="1">
      <alignment horizontal="center" vertical="center" wrapText="1"/>
    </xf>
    <xf numFmtId="14" fontId="21" fillId="0" borderId="1" xfId="0" applyNumberFormat="1" applyFont="1" applyBorder="1" applyAlignment="1">
      <alignment horizontal="center" vertical="center" wrapText="1"/>
    </xf>
    <xf numFmtId="49" fontId="21" fillId="0" borderId="1" xfId="0" applyNumberFormat="1" applyFont="1" applyBorder="1" applyAlignment="1">
      <alignment horizontal="center" vertical="center" wrapText="1"/>
    </xf>
    <xf numFmtId="167" fontId="21" fillId="0" borderId="1" xfId="3" applyFont="1" applyFill="1" applyBorder="1" applyAlignment="1">
      <alignment horizontal="center" vertical="center" wrapText="1"/>
    </xf>
    <xf numFmtId="49" fontId="21" fillId="0" borderId="1" xfId="0" applyNumberFormat="1" applyFont="1" applyBorder="1" applyAlignment="1">
      <alignment vertical="center" wrapText="1"/>
    </xf>
    <xf numFmtId="49" fontId="22" fillId="0" borderId="1" xfId="0" applyNumberFormat="1" applyFont="1" applyBorder="1" applyAlignment="1">
      <alignment vertical="center" wrapText="1"/>
    </xf>
    <xf numFmtId="49" fontId="22" fillId="0" borderId="1" xfId="0" applyNumberFormat="1" applyFont="1" applyBorder="1" applyAlignment="1">
      <alignment horizontal="justify" vertical="center" wrapText="1"/>
    </xf>
    <xf numFmtId="49" fontId="23" fillId="0" borderId="1" xfId="0" applyNumberFormat="1" applyFont="1" applyBorder="1" applyAlignment="1">
      <alignment horizontal="left" vertical="center" wrapText="1"/>
    </xf>
    <xf numFmtId="3" fontId="23" fillId="0" borderId="1" xfId="0" applyNumberFormat="1" applyFont="1" applyBorder="1" applyAlignment="1">
      <alignment horizontal="center" vertical="center" wrapText="1"/>
    </xf>
    <xf numFmtId="167" fontId="23" fillId="0" borderId="1" xfId="3" applyFont="1" applyBorder="1" applyAlignment="1">
      <alignment horizontal="center" vertical="center" wrapText="1"/>
    </xf>
    <xf numFmtId="0" fontId="23" fillId="0" borderId="1" xfId="0" applyFont="1" applyBorder="1" applyAlignment="1">
      <alignment horizontal="center" vertical="center" wrapText="1"/>
    </xf>
    <xf numFmtId="170" fontId="21" fillId="0" borderId="1" xfId="3" applyNumberFormat="1" applyFont="1" applyBorder="1" applyAlignment="1">
      <alignment horizontal="center" vertical="center" wrapText="1"/>
    </xf>
    <xf numFmtId="171" fontId="21" fillId="0" borderId="1" xfId="3" applyNumberFormat="1" applyFont="1" applyBorder="1" applyAlignment="1">
      <alignment horizontal="center" vertical="center" wrapText="1"/>
    </xf>
    <xf numFmtId="0" fontId="20" fillId="0" borderId="6" xfId="0" applyFont="1" applyBorder="1" applyAlignment="1">
      <alignment horizontal="center" vertical="center" wrapText="1"/>
    </xf>
    <xf numFmtId="49" fontId="21" fillId="0" borderId="6" xfId="0" applyNumberFormat="1" applyFont="1" applyBorder="1" applyAlignment="1">
      <alignment horizontal="left" vertical="center" wrapText="1"/>
    </xf>
    <xf numFmtId="171" fontId="21" fillId="0" borderId="6" xfId="3" applyNumberFormat="1" applyFont="1" applyBorder="1" applyAlignment="1">
      <alignment horizontal="center" vertical="center" wrapText="1"/>
    </xf>
    <xf numFmtId="167" fontId="21" fillId="0" borderId="6" xfId="3" applyFont="1" applyBorder="1" applyAlignment="1">
      <alignment horizontal="center" vertical="center" wrapText="1"/>
    </xf>
    <xf numFmtId="0" fontId="21" fillId="0" borderId="6" xfId="0" applyFont="1" applyBorder="1" applyAlignment="1">
      <alignment horizontal="center" vertical="center" wrapText="1"/>
    </xf>
    <xf numFmtId="14" fontId="21" fillId="0" borderId="6" xfId="0" applyNumberFormat="1" applyFont="1" applyBorder="1" applyAlignment="1">
      <alignment horizontal="center" vertical="center" wrapText="1"/>
    </xf>
    <xf numFmtId="49" fontId="21" fillId="0" borderId="6" xfId="0" applyNumberFormat="1" applyFont="1" applyBorder="1" applyAlignment="1">
      <alignment horizontal="center" vertical="center" wrapText="1"/>
    </xf>
    <xf numFmtId="0" fontId="27" fillId="6" borderId="1" xfId="0" applyFont="1" applyFill="1" applyBorder="1" applyAlignment="1">
      <alignment horizontal="center" vertical="center" wrapText="1"/>
    </xf>
    <xf numFmtId="0" fontId="27" fillId="6" borderId="1" xfId="0" applyFont="1" applyFill="1" applyBorder="1" applyAlignment="1">
      <alignment horizontal="center" vertical="center"/>
    </xf>
    <xf numFmtId="0" fontId="28" fillId="0" borderId="1" xfId="0" applyFont="1" applyBorder="1" applyAlignment="1">
      <alignment horizontal="center" vertical="center"/>
    </xf>
    <xf numFmtId="0" fontId="28" fillId="0" borderId="1" xfId="0" applyFont="1" applyBorder="1" applyAlignment="1">
      <alignment horizontal="center" vertical="center" wrapText="1"/>
    </xf>
    <xf numFmtId="0" fontId="14" fillId="0" borderId="1" xfId="0" applyFont="1" applyBorder="1" applyAlignment="1">
      <alignment horizontal="center" vertical="center" wrapText="1"/>
    </xf>
    <xf numFmtId="165" fontId="14" fillId="0" borderId="1" xfId="0" applyNumberFormat="1" applyFont="1" applyBorder="1" applyAlignment="1">
      <alignment horizontal="center" vertical="center" wrapText="1"/>
    </xf>
    <xf numFmtId="14" fontId="14" fillId="0" borderId="1" xfId="0" applyNumberFormat="1" applyFont="1" applyBorder="1" applyAlignment="1">
      <alignment horizontal="center" vertical="center" wrapText="1"/>
    </xf>
    <xf numFmtId="0" fontId="29" fillId="7" borderId="1" xfId="0" applyFont="1" applyFill="1" applyBorder="1" applyAlignment="1">
      <alignment horizontal="center" vertical="center" wrapText="1"/>
    </xf>
    <xf numFmtId="167" fontId="29" fillId="7" borderId="1" xfId="3"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67" fontId="0" fillId="0" borderId="1" xfId="3" applyFont="1" applyBorder="1" applyAlignment="1">
      <alignment horizontal="center" vertical="center"/>
    </xf>
    <xf numFmtId="14" fontId="0" fillId="0" borderId="1" xfId="0" applyNumberFormat="1" applyBorder="1" applyAlignment="1">
      <alignment horizontal="center" vertical="center"/>
    </xf>
    <xf numFmtId="167" fontId="0" fillId="8" borderId="1" xfId="3" applyFont="1" applyFill="1" applyBorder="1" applyAlignment="1">
      <alignment horizontal="center" vertical="center"/>
    </xf>
    <xf numFmtId="0" fontId="19" fillId="0" borderId="1" xfId="4" applyFill="1" applyBorder="1" applyAlignment="1">
      <alignment horizontal="center" vertical="center" wrapText="1"/>
    </xf>
    <xf numFmtId="167" fontId="0" fillId="0" borderId="1" xfId="3" applyFont="1" applyFill="1" applyBorder="1" applyAlignment="1">
      <alignment horizontal="right" vertical="center"/>
    </xf>
    <xf numFmtId="167" fontId="0" fillId="0" borderId="1" xfId="3" applyFont="1" applyFill="1" applyBorder="1" applyAlignment="1">
      <alignment horizontal="center" vertical="center"/>
    </xf>
    <xf numFmtId="0" fontId="10" fillId="0" borderId="1" xfId="4" applyFont="1" applyFill="1" applyBorder="1" applyAlignment="1">
      <alignment horizontal="center" vertical="center" wrapText="1"/>
    </xf>
    <xf numFmtId="165" fontId="0" fillId="0" borderId="1" xfId="3" applyNumberFormat="1" applyFont="1" applyBorder="1" applyAlignment="1">
      <alignment horizontal="center" vertical="center"/>
    </xf>
    <xf numFmtId="3" fontId="0" fillId="0" borderId="1" xfId="0" applyNumberFormat="1" applyBorder="1" applyAlignment="1">
      <alignment horizontal="center" vertical="center"/>
    </xf>
    <xf numFmtId="167" fontId="0" fillId="0" borderId="1" xfId="3" applyFont="1" applyBorder="1" applyAlignment="1">
      <alignment vertical="center"/>
    </xf>
    <xf numFmtId="14" fontId="12" fillId="0" borderId="1" xfId="0" applyNumberFormat="1" applyFont="1" applyBorder="1" applyAlignment="1">
      <alignment horizontal="center"/>
    </xf>
    <xf numFmtId="167" fontId="12" fillId="0" borderId="1" xfId="3" applyFont="1" applyBorder="1"/>
    <xf numFmtId="0" fontId="16" fillId="0" borderId="1" xfId="0" applyFont="1" applyBorder="1" applyAlignment="1">
      <alignment horizontal="center" wrapText="1"/>
    </xf>
    <xf numFmtId="0" fontId="15" fillId="0" borderId="1" xfId="0" applyFont="1" applyBorder="1" applyAlignment="1">
      <alignment horizontal="center" vertical="center"/>
    </xf>
    <xf numFmtId="168" fontId="12" fillId="0" borderId="1" xfId="3" applyNumberFormat="1" applyFont="1" applyBorder="1" applyAlignment="1">
      <alignment horizontal="center"/>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33" fillId="0" borderId="0" xfId="0" applyFont="1" applyAlignment="1">
      <alignment horizontal="center" vertical="center" wrapText="1"/>
    </xf>
    <xf numFmtId="0" fontId="12" fillId="0" borderId="1" xfId="0" applyFont="1" applyBorder="1" applyAlignment="1">
      <alignment horizontal="center" vertical="center" wrapText="1"/>
    </xf>
    <xf numFmtId="168" fontId="12" fillId="0" borderId="1" xfId="0" applyNumberFormat="1" applyFont="1" applyBorder="1" applyAlignment="1">
      <alignment horizontal="center" wrapText="1"/>
    </xf>
    <xf numFmtId="168" fontId="12" fillId="0" borderId="1" xfId="3" applyNumberFormat="1" applyFont="1" applyBorder="1" applyAlignment="1">
      <alignment horizontal="right" wrapText="1"/>
    </xf>
    <xf numFmtId="3" fontId="12" fillId="0" borderId="1" xfId="0" applyNumberFormat="1" applyFont="1" applyBorder="1" applyAlignment="1">
      <alignment horizontal="center" wrapText="1"/>
    </xf>
    <xf numFmtId="0" fontId="12" fillId="0" borderId="1" xfId="0" applyFont="1" applyBorder="1" applyAlignment="1">
      <alignment wrapText="1"/>
    </xf>
    <xf numFmtId="0" fontId="15" fillId="0" borderId="2" xfId="0" applyFont="1" applyBorder="1" applyAlignment="1">
      <alignment horizontal="center" wrapText="1"/>
    </xf>
    <xf numFmtId="168" fontId="12" fillId="0" borderId="1" xfId="3" applyNumberFormat="1" applyFont="1" applyBorder="1" applyAlignment="1">
      <alignment vertical="center" wrapText="1"/>
    </xf>
    <xf numFmtId="168" fontId="0" fillId="0" borderId="1" xfId="0" applyNumberFormat="1" applyBorder="1" applyAlignment="1">
      <alignment wrapText="1"/>
    </xf>
    <xf numFmtId="168" fontId="12" fillId="0" borderId="1" xfId="0" applyNumberFormat="1" applyFont="1" applyBorder="1" applyAlignment="1">
      <alignment vertical="center" wrapText="1"/>
    </xf>
    <xf numFmtId="168" fontId="12" fillId="0" borderId="1" xfId="3" applyNumberFormat="1" applyFont="1" applyBorder="1" applyAlignment="1">
      <alignment wrapText="1"/>
    </xf>
    <xf numFmtId="167" fontId="12" fillId="0" borderId="1" xfId="3" applyFont="1" applyBorder="1" applyAlignment="1">
      <alignment horizontal="left" wrapText="1"/>
    </xf>
    <xf numFmtId="168" fontId="12" fillId="0" borderId="1" xfId="0" applyNumberFormat="1" applyFont="1" applyBorder="1" applyAlignment="1">
      <alignment horizontal="right" wrapText="1"/>
    </xf>
    <xf numFmtId="0" fontId="6" fillId="0" borderId="0" xfId="0" applyFont="1" applyAlignment="1">
      <alignment horizontal="center" wrapText="1"/>
    </xf>
    <xf numFmtId="0" fontId="14" fillId="0" borderId="1" xfId="0" applyFont="1" applyBorder="1" applyAlignment="1">
      <alignment horizontal="center" wrapText="1"/>
    </xf>
    <xf numFmtId="169" fontId="12" fillId="0" borderId="1" xfId="3" applyNumberFormat="1" applyFont="1" applyBorder="1" applyAlignment="1">
      <alignment horizontal="right" wrapText="1"/>
    </xf>
    <xf numFmtId="0" fontId="34" fillId="0" borderId="1" xfId="0" applyFont="1" applyBorder="1" applyAlignment="1">
      <alignment horizontal="center" wrapText="1"/>
    </xf>
    <xf numFmtId="172" fontId="0" fillId="0" borderId="1" xfId="0" applyNumberFormat="1" applyBorder="1" applyAlignment="1">
      <alignment horizontal="center" wrapText="1"/>
    </xf>
    <xf numFmtId="173" fontId="0" fillId="0" borderId="1" xfId="0" applyNumberFormat="1" applyBorder="1" applyAlignment="1">
      <alignment horizontal="center" wrapText="1"/>
    </xf>
    <xf numFmtId="174" fontId="0" fillId="0" borderId="1" xfId="0" applyNumberFormat="1" applyBorder="1" applyAlignment="1">
      <alignment horizontal="center" wrapText="1"/>
    </xf>
    <xf numFmtId="0" fontId="0" fillId="0" borderId="1" xfId="0" applyBorder="1" applyAlignment="1">
      <alignment horizontal="left" wrapText="1"/>
    </xf>
    <xf numFmtId="0" fontId="35" fillId="0" borderId="0" xfId="0" applyFont="1" applyAlignment="1">
      <alignment horizontal="center" vertical="center" wrapText="1"/>
    </xf>
    <xf numFmtId="0" fontId="12" fillId="0" borderId="1" xfId="0" applyFont="1" applyBorder="1" applyAlignment="1">
      <alignment horizontal="center" vertical="center"/>
    </xf>
    <xf numFmtId="165" fontId="10" fillId="0" borderId="1" xfId="0" applyNumberFormat="1" applyFont="1" applyBorder="1" applyAlignment="1">
      <alignment horizontal="center" vertical="center"/>
    </xf>
    <xf numFmtId="14" fontId="36" fillId="0" borderId="1" xfId="0" applyNumberFormat="1" applyFont="1" applyBorder="1" applyAlignment="1">
      <alignment horizontal="center" vertical="center"/>
    </xf>
    <xf numFmtId="0" fontId="12" fillId="9" borderId="1" xfId="0" applyFont="1" applyFill="1" applyBorder="1" applyAlignment="1">
      <alignment horizontal="center" vertical="center"/>
    </xf>
    <xf numFmtId="0" fontId="0" fillId="9" borderId="1" xfId="0" applyFill="1" applyBorder="1" applyAlignment="1">
      <alignment horizontal="center" vertical="center" wrapText="1"/>
    </xf>
    <xf numFmtId="0" fontId="12" fillId="9" borderId="1" xfId="0" applyFont="1" applyFill="1" applyBorder="1" applyAlignment="1">
      <alignment horizontal="center" vertical="center" wrapText="1"/>
    </xf>
    <xf numFmtId="165" fontId="10" fillId="9" borderId="1" xfId="0" applyNumberFormat="1" applyFont="1" applyFill="1" applyBorder="1" applyAlignment="1">
      <alignment horizontal="center" vertical="center"/>
    </xf>
    <xf numFmtId="0" fontId="37" fillId="0" borderId="1" xfId="0" applyFont="1" applyBorder="1" applyAlignment="1">
      <alignment horizontal="center" vertical="center"/>
    </xf>
    <xf numFmtId="0" fontId="10"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37" fillId="9" borderId="1" xfId="0" applyFont="1" applyFill="1" applyBorder="1" applyAlignment="1">
      <alignment horizontal="center" vertical="center"/>
    </xf>
    <xf numFmtId="0" fontId="10" fillId="9" borderId="1" xfId="0" applyFont="1" applyFill="1" applyBorder="1" applyAlignment="1">
      <alignment horizontal="center" vertical="center" wrapText="1"/>
    </xf>
    <xf numFmtId="0" fontId="37" fillId="9" borderId="1" xfId="0" applyFont="1" applyFill="1" applyBorder="1" applyAlignment="1">
      <alignment horizontal="center" vertical="center" wrapText="1"/>
    </xf>
    <xf numFmtId="165" fontId="0" fillId="0" borderId="1" xfId="0" applyNumberFormat="1" applyBorder="1" applyAlignment="1">
      <alignment horizontal="center" vertical="center"/>
    </xf>
    <xf numFmtId="165" fontId="0" fillId="9" borderId="1" xfId="0" applyNumberFormat="1" applyFill="1" applyBorder="1" applyAlignment="1">
      <alignment horizontal="center" vertical="center"/>
    </xf>
    <xf numFmtId="167" fontId="10" fillId="0" borderId="1" xfId="3" applyFont="1" applyFill="1" applyBorder="1" applyAlignment="1">
      <alignment horizontal="center" vertical="center"/>
    </xf>
    <xf numFmtId="3" fontId="10" fillId="0" borderId="1" xfId="0" applyNumberFormat="1" applyFont="1" applyBorder="1" applyAlignment="1">
      <alignment horizontal="center" vertical="center" wrapText="1"/>
    </xf>
    <xf numFmtId="0" fontId="39" fillId="0" borderId="9" xfId="0" applyFont="1" applyBorder="1" applyAlignment="1">
      <alignment horizontal="center" vertical="center"/>
    </xf>
    <xf numFmtId="14" fontId="39" fillId="0" borderId="9" xfId="0" applyNumberFormat="1" applyFont="1" applyBorder="1" applyAlignment="1">
      <alignment horizontal="center" vertical="center"/>
    </xf>
    <xf numFmtId="0" fontId="39" fillId="0" borderId="9" xfId="0" applyFont="1" applyBorder="1" applyAlignment="1">
      <alignment horizontal="center" vertical="center" wrapText="1"/>
    </xf>
    <xf numFmtId="0" fontId="39" fillId="11" borderId="9" xfId="0" applyFont="1" applyFill="1" applyBorder="1" applyAlignment="1">
      <alignment horizontal="center" vertical="center"/>
    </xf>
    <xf numFmtId="0" fontId="38" fillId="11" borderId="9" xfId="0" applyFont="1" applyFill="1" applyBorder="1" applyAlignment="1">
      <alignment horizontal="center" vertical="center"/>
    </xf>
    <xf numFmtId="14" fontId="39" fillId="11" borderId="9" xfId="0" applyNumberFormat="1" applyFont="1" applyFill="1" applyBorder="1" applyAlignment="1">
      <alignment horizontal="center" vertical="center"/>
    </xf>
    <xf numFmtId="49" fontId="39" fillId="0" borderId="9" xfId="0" applyNumberFormat="1" applyFont="1" applyBorder="1" applyAlignment="1">
      <alignment horizontal="center" vertical="center"/>
    </xf>
    <xf numFmtId="0" fontId="38" fillId="11" borderId="9" xfId="0" applyFont="1" applyFill="1" applyBorder="1" applyAlignment="1">
      <alignment horizontal="left" vertical="center"/>
    </xf>
    <xf numFmtId="0" fontId="39" fillId="0" borderId="0" xfId="0" applyFont="1" applyAlignment="1">
      <alignment horizontal="center" vertical="center" wrapText="1"/>
    </xf>
    <xf numFmtId="0" fontId="39" fillId="0" borderId="0" xfId="0" applyFont="1" applyAlignment="1">
      <alignment horizontal="center" vertical="center"/>
    </xf>
    <xf numFmtId="0" fontId="38" fillId="11" borderId="9" xfId="0" applyFont="1" applyFill="1" applyBorder="1" applyAlignment="1">
      <alignment horizontal="center" vertical="center" wrapText="1"/>
    </xf>
    <xf numFmtId="167" fontId="39" fillId="11" borderId="9" xfId="3" applyFont="1" applyFill="1" applyBorder="1" applyAlignment="1">
      <alignment horizontal="center" vertical="center"/>
    </xf>
    <xf numFmtId="167" fontId="39" fillId="0" borderId="9" xfId="3" applyFont="1" applyFill="1" applyBorder="1" applyAlignment="1">
      <alignment horizontal="center" vertical="center"/>
    </xf>
    <xf numFmtId="167" fontId="39" fillId="0" borderId="9" xfId="3" applyFont="1" applyBorder="1" applyAlignment="1">
      <alignment horizontal="center" vertical="center"/>
    </xf>
    <xf numFmtId="2" fontId="39" fillId="11" borderId="9" xfId="0" applyNumberFormat="1" applyFont="1" applyFill="1" applyBorder="1" applyAlignment="1">
      <alignment horizontal="center" vertical="center"/>
    </xf>
    <xf numFmtId="2" fontId="39" fillId="0" borderId="9" xfId="0" applyNumberFormat="1" applyFont="1" applyBorder="1" applyAlignment="1">
      <alignment horizontal="center" vertical="center"/>
    </xf>
    <xf numFmtId="49" fontId="39" fillId="11" borderId="9" xfId="0" applyNumberFormat="1" applyFont="1" applyFill="1" applyBorder="1" applyAlignment="1">
      <alignment horizontal="center" vertical="center"/>
    </xf>
    <xf numFmtId="167" fontId="39" fillId="0" borderId="9" xfId="3" applyFont="1" applyFill="1" applyBorder="1" applyAlignment="1">
      <alignment horizontal="center" vertical="center" wrapText="1"/>
    </xf>
    <xf numFmtId="49" fontId="39" fillId="0" borderId="9" xfId="0" applyNumberFormat="1" applyFont="1" applyBorder="1" applyAlignment="1">
      <alignment horizontal="center" vertical="center" wrapText="1"/>
    </xf>
    <xf numFmtId="14" fontId="39" fillId="0" borderId="9" xfId="0" applyNumberFormat="1" applyFont="1" applyBorder="1" applyAlignment="1">
      <alignment horizontal="center" vertical="center" wrapText="1"/>
    </xf>
    <xf numFmtId="0" fontId="42" fillId="0" borderId="10" xfId="0" applyFont="1" applyBorder="1" applyAlignment="1">
      <alignment wrapText="1"/>
    </xf>
    <xf numFmtId="0" fontId="43" fillId="0" borderId="10" xfId="0" applyFont="1" applyBorder="1" applyAlignment="1">
      <alignment wrapText="1"/>
    </xf>
    <xf numFmtId="175" fontId="43" fillId="0" borderId="10" xfId="0" applyNumberFormat="1" applyFont="1" applyBorder="1" applyAlignment="1">
      <alignment horizontal="right" wrapText="1"/>
    </xf>
    <xf numFmtId="176" fontId="43" fillId="0" borderId="10" xfId="0" applyNumberFormat="1" applyFont="1" applyBorder="1" applyAlignment="1">
      <alignment wrapText="1"/>
    </xf>
    <xf numFmtId="0" fontId="43" fillId="0" borderId="10" xfId="0" applyFont="1" applyBorder="1"/>
    <xf numFmtId="175" fontId="43" fillId="0" borderId="10" xfId="0" applyNumberFormat="1" applyFont="1" applyBorder="1" applyAlignment="1">
      <alignment horizontal="right"/>
    </xf>
    <xf numFmtId="0" fontId="44" fillId="0" borderId="1" xfId="0" applyFont="1" applyBorder="1" applyAlignment="1">
      <alignment horizontal="center" vertical="center" wrapText="1"/>
    </xf>
    <xf numFmtId="44" fontId="44" fillId="0" borderId="1" xfId="1" applyFont="1" applyBorder="1" applyAlignment="1">
      <alignment horizontal="center" vertical="center" wrapText="1"/>
    </xf>
    <xf numFmtId="14" fontId="44" fillId="0" borderId="1" xfId="0" applyNumberFormat="1" applyFont="1" applyBorder="1" applyAlignment="1">
      <alignment horizontal="center" vertical="center" wrapText="1"/>
    </xf>
    <xf numFmtId="3" fontId="44" fillId="0" borderId="1" xfId="0" applyNumberFormat="1" applyFont="1" applyBorder="1" applyAlignment="1">
      <alignment horizontal="center" vertical="center" wrapText="1"/>
    </xf>
    <xf numFmtId="0" fontId="45" fillId="0" borderId="1" xfId="0" applyFont="1" applyBorder="1" applyAlignment="1">
      <alignment horizontal="left" vertical="center" wrapText="1"/>
    </xf>
    <xf numFmtId="17" fontId="44" fillId="0" borderId="1" xfId="0" applyNumberFormat="1" applyFont="1" applyBorder="1" applyAlignment="1">
      <alignment horizontal="center" vertical="center" wrapText="1"/>
    </xf>
    <xf numFmtId="44" fontId="44" fillId="0" borderId="1" xfId="1" quotePrefix="1" applyFont="1" applyBorder="1" applyAlignment="1">
      <alignment horizontal="center" vertical="center" wrapText="1"/>
    </xf>
    <xf numFmtId="8" fontId="0" fillId="0" borderId="1" xfId="0" applyNumberFormat="1" applyBorder="1" applyAlignment="1">
      <alignment horizontal="center" vertical="center"/>
    </xf>
    <xf numFmtId="17" fontId="0" fillId="0" borderId="1" xfId="0" applyNumberFormat="1" applyBorder="1" applyAlignment="1">
      <alignment horizontal="center" vertical="center" wrapText="1"/>
    </xf>
    <xf numFmtId="8" fontId="0" fillId="0" borderId="1" xfId="0" applyNumberFormat="1" applyBorder="1" applyAlignment="1">
      <alignment horizontal="center" vertical="center" wrapText="1"/>
    </xf>
    <xf numFmtId="4" fontId="0" fillId="0" borderId="1" xfId="0" applyNumberFormat="1" applyBorder="1" applyAlignment="1">
      <alignment horizontal="center" vertical="center"/>
    </xf>
    <xf numFmtId="3" fontId="0" fillId="0" borderId="1" xfId="0" applyNumberFormat="1" applyBorder="1" applyAlignment="1">
      <alignment horizontal="center" vertical="center" wrapText="1"/>
    </xf>
    <xf numFmtId="4" fontId="0" fillId="0" borderId="1" xfId="0" applyNumberFormat="1" applyBorder="1" applyAlignment="1">
      <alignment horizontal="center" vertical="center" wrapText="1"/>
    </xf>
    <xf numFmtId="8" fontId="0" fillId="0" borderId="1" xfId="0" applyNumberFormat="1" applyBorder="1"/>
    <xf numFmtId="0" fontId="48" fillId="0" borderId="1" xfId="0" applyFont="1" applyBorder="1" applyAlignment="1">
      <alignment horizontal="center" vertical="center"/>
    </xf>
    <xf numFmtId="0" fontId="48" fillId="0" borderId="1" xfId="0" applyFont="1" applyBorder="1" applyAlignment="1">
      <alignment horizontal="center" vertical="center" wrapText="1"/>
    </xf>
    <xf numFmtId="166" fontId="48" fillId="0" borderId="1" xfId="0" applyNumberFormat="1" applyFont="1" applyBorder="1" applyAlignment="1">
      <alignment horizontal="center" vertical="center"/>
    </xf>
    <xf numFmtId="17" fontId="48" fillId="0" borderId="1" xfId="0" applyNumberFormat="1" applyFont="1" applyBorder="1" applyAlignment="1">
      <alignment horizontal="center" vertical="center"/>
    </xf>
    <xf numFmtId="0" fontId="49" fillId="0" borderId="1" xfId="0" applyFont="1" applyBorder="1" applyAlignment="1">
      <alignment horizontal="center" vertical="center"/>
    </xf>
    <xf numFmtId="0" fontId="48" fillId="3" borderId="1" xfId="0" applyFont="1" applyFill="1" applyBorder="1" applyAlignment="1">
      <alignment horizontal="center" vertical="center"/>
    </xf>
    <xf numFmtId="0" fontId="48" fillId="3" borderId="1" xfId="0" applyFont="1" applyFill="1" applyBorder="1" applyAlignment="1">
      <alignment horizontal="center" vertical="center" wrapText="1"/>
    </xf>
    <xf numFmtId="0" fontId="10" fillId="0" borderId="1" xfId="0" applyFont="1" applyBorder="1" applyAlignment="1">
      <alignment horizontal="center" vertical="center"/>
    </xf>
    <xf numFmtId="0" fontId="1" fillId="0" borderId="0" xfId="0" applyFont="1" applyAlignment="1">
      <alignment horizontal="center" wrapText="1"/>
    </xf>
    <xf numFmtId="0" fontId="0" fillId="0" borderId="0" xfId="0" applyAlignment="1">
      <alignment horizontal="center" wrapText="1"/>
    </xf>
    <xf numFmtId="165" fontId="0" fillId="0" borderId="0" xfId="0" applyNumberFormat="1" applyAlignment="1">
      <alignment horizontal="center" wrapText="1"/>
    </xf>
    <xf numFmtId="3" fontId="0" fillId="0" borderId="0" xfId="0" applyNumberFormat="1" applyAlignment="1">
      <alignment horizontal="center" wrapText="1"/>
    </xf>
    <xf numFmtId="8" fontId="0" fillId="0" borderId="0" xfId="0" applyNumberFormat="1" applyAlignment="1">
      <alignment horizontal="center" wrapText="1"/>
    </xf>
    <xf numFmtId="14" fontId="0" fillId="0" borderId="0" xfId="0" applyNumberFormat="1" applyAlignment="1">
      <alignment horizontal="center" wrapText="1"/>
    </xf>
    <xf numFmtId="6" fontId="0" fillId="0" borderId="0" xfId="0" applyNumberFormat="1" applyAlignment="1">
      <alignment horizontal="center" wrapText="1"/>
    </xf>
    <xf numFmtId="168" fontId="0" fillId="0" borderId="1" xfId="0" applyNumberFormat="1" applyBorder="1" applyAlignment="1">
      <alignment horizontal="center" wrapText="1"/>
    </xf>
    <xf numFmtId="17" fontId="0" fillId="0" borderId="1" xfId="0" applyNumberFormat="1" applyBorder="1" applyAlignment="1">
      <alignment horizontal="center" wrapText="1"/>
    </xf>
    <xf numFmtId="0" fontId="15" fillId="0" borderId="1" xfId="0" applyFont="1" applyBorder="1" applyAlignment="1">
      <alignment wrapText="1"/>
    </xf>
    <xf numFmtId="0" fontId="15" fillId="0" borderId="1" xfId="0" applyFont="1" applyBorder="1" applyAlignment="1">
      <alignment horizontal="justify" vertical="center" wrapText="1"/>
    </xf>
    <xf numFmtId="168" fontId="0" fillId="0" borderId="1" xfId="3" applyNumberFormat="1" applyFont="1" applyBorder="1" applyAlignment="1">
      <alignment horizontal="center" wrapText="1"/>
    </xf>
    <xf numFmtId="0" fontId="1" fillId="0" borderId="1" xfId="0" applyFont="1" applyBorder="1" applyAlignment="1">
      <alignment horizontal="center"/>
    </xf>
    <xf numFmtId="165" fontId="0" fillId="0" borderId="1" xfId="0" applyNumberFormat="1" applyBorder="1" applyAlignment="1">
      <alignment horizontal="center"/>
    </xf>
    <xf numFmtId="14" fontId="0" fillId="0" borderId="1" xfId="0" applyNumberFormat="1" applyBorder="1" applyAlignment="1">
      <alignment horizontal="center"/>
    </xf>
    <xf numFmtId="0" fontId="0" fillId="0" borderId="1" xfId="0" applyBorder="1" applyAlignment="1">
      <alignment horizontal="left"/>
    </xf>
    <xf numFmtId="3" fontId="0" fillId="0" borderId="1" xfId="0" applyNumberFormat="1" applyBorder="1" applyAlignment="1">
      <alignment horizontal="center"/>
    </xf>
    <xf numFmtId="4" fontId="0" fillId="0" borderId="1" xfId="0" applyNumberFormat="1" applyBorder="1" applyAlignment="1">
      <alignment horizontal="center"/>
    </xf>
    <xf numFmtId="16" fontId="0" fillId="0" borderId="1" xfId="0" applyNumberFormat="1" applyBorder="1" applyAlignment="1">
      <alignment horizontal="center"/>
    </xf>
    <xf numFmtId="0" fontId="29" fillId="0" borderId="1" xfId="0" applyFont="1" applyBorder="1" applyAlignment="1">
      <alignment horizontal="center"/>
    </xf>
    <xf numFmtId="14" fontId="40" fillId="10" borderId="9" xfId="0" applyNumberFormat="1" applyFont="1" applyFill="1" applyBorder="1" applyAlignment="1">
      <alignment horizontal="center" vertical="center" wrapText="1"/>
    </xf>
    <xf numFmtId="0" fontId="40" fillId="10" borderId="9" xfId="0" applyFont="1" applyFill="1" applyBorder="1" applyAlignment="1">
      <alignment horizontal="center" vertical="center" wrapText="1"/>
    </xf>
    <xf numFmtId="49" fontId="40" fillId="10" borderId="9" xfId="0" applyNumberFormat="1" applyFont="1" applyFill="1" applyBorder="1" applyAlignment="1">
      <alignment horizontal="center" vertical="center" wrapText="1"/>
    </xf>
    <xf numFmtId="167" fontId="40" fillId="10" borderId="9" xfId="3" applyFont="1" applyFill="1" applyBorder="1" applyAlignment="1">
      <alignment horizontal="center" vertical="center" wrapText="1"/>
    </xf>
    <xf numFmtId="2" fontId="40" fillId="10" borderId="9" xfId="0" applyNumberFormat="1" applyFont="1" applyFill="1" applyBorder="1" applyAlignment="1">
      <alignment horizontal="center" vertical="center" wrapText="1"/>
    </xf>
    <xf numFmtId="0" fontId="46" fillId="2" borderId="7" xfId="2" applyFont="1" applyBorder="1" applyAlignment="1">
      <alignment horizontal="center" vertical="center" wrapText="1"/>
    </xf>
    <xf numFmtId="0" fontId="46" fillId="2" borderId="5" xfId="2" applyFont="1" applyBorder="1" applyAlignment="1">
      <alignment horizontal="center" vertical="center" wrapText="1"/>
    </xf>
    <xf numFmtId="0" fontId="47" fillId="0" borderId="12" xfId="0" applyFont="1" applyBorder="1" applyAlignment="1">
      <alignment horizontal="center"/>
    </xf>
    <xf numFmtId="0" fontId="46" fillId="2" borderId="6" xfId="2" applyFont="1" applyBorder="1" applyAlignment="1">
      <alignment horizontal="center" vertical="center" wrapText="1"/>
    </xf>
    <xf numFmtId="0" fontId="46" fillId="2" borderId="4" xfId="2" applyFont="1" applyBorder="1" applyAlignment="1">
      <alignment horizontal="center" vertical="center" wrapText="1"/>
    </xf>
    <xf numFmtId="0" fontId="46" fillId="2" borderId="8" xfId="2" applyFont="1" applyBorder="1" applyAlignment="1">
      <alignment horizontal="center" vertical="center" wrapText="1"/>
    </xf>
    <xf numFmtId="0" fontId="46" fillId="2" borderId="11" xfId="2" applyFont="1" applyBorder="1" applyAlignment="1">
      <alignment horizontal="center" vertical="center" wrapText="1"/>
    </xf>
    <xf numFmtId="0" fontId="46" fillId="2" borderId="7" xfId="2" applyFont="1" applyBorder="1" applyAlignment="1">
      <alignment horizontal="center" vertical="center"/>
    </xf>
    <xf numFmtId="0" fontId="46" fillId="2" borderId="5" xfId="2" applyFont="1" applyBorder="1" applyAlignment="1">
      <alignment horizontal="center" vertical="center"/>
    </xf>
  </cellXfs>
  <cellStyles count="6">
    <cellStyle name="Hiperlink" xfId="4" builtinId="8"/>
    <cellStyle name="Moeda" xfId="1" builtinId="4"/>
    <cellStyle name="Moeda 2" xfId="3" xr:uid="{357AC2F6-E359-46E6-A47D-5A2A3E903EC5}"/>
    <cellStyle name="Neutro" xfId="2" builtinId="28"/>
    <cellStyle name="Normal" xfId="0" builtinId="0"/>
    <cellStyle name="Normal 2" xfId="5" xr:uid="{9413231E-4BA3-40F9-B931-7D9C4C157573}"/>
  </cellStyles>
  <dxfs count="23">
    <dxf>
      <font>
        <color rgb="FF9C0006"/>
      </font>
    </dxf>
    <dxf>
      <font>
        <color theme="7" tint="-0.24994659260841701"/>
      </font>
    </dxf>
    <dxf>
      <font>
        <color theme="4" tint="-0.24994659260841701"/>
      </font>
    </dxf>
    <dxf>
      <font>
        <b val="0"/>
        <i val="0"/>
        <strike val="0"/>
        <condense val="0"/>
        <extend val="0"/>
        <outline val="0"/>
        <shadow val="0"/>
        <u val="none"/>
        <vertAlign val="baseline"/>
        <sz val="7"/>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7"/>
        <color theme="1"/>
        <name val="Arial"/>
        <scheme val="none"/>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7"/>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7"/>
        <color theme="1"/>
        <name val="Arial"/>
        <scheme val="none"/>
      </font>
      <numFmt numFmtId="19" formatCode="dd/m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7"/>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7"/>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7"/>
        <color theme="1"/>
        <name val="Arial"/>
        <scheme val="none"/>
      </font>
      <numFmt numFmtId="167" formatCode="_-&quot;R$&quot;\ * #,##0.00_-;\-&quot;R$&quot;\ * #,##0.00_-;_-&quot;R$&quot;\ * &quot;-&quot;??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7"/>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7"/>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7"/>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7"/>
        <color theme="1"/>
        <name val="Arial"/>
        <scheme val="none"/>
      </font>
      <numFmt numFmtId="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7"/>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7"/>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outline val="0"/>
        <shadow val="0"/>
        <u val="none"/>
        <vertAlign val="baseline"/>
        <sz val="7"/>
        <name val="Arial"/>
        <scheme val="none"/>
      </font>
      <numFmt numFmtId="30" formatCode="@"/>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7"/>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7"/>
        <color theme="1"/>
        <name val="Arial"/>
        <scheme val="none"/>
      </font>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7"/>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514512F-A367-426C-B2A5-20E2129A050B}" name="Planejamento2024" displayName="Planejamento2024" ref="A1:O1246" totalsRowShown="0" headerRowDxfId="22" dataDxfId="20" headerRowBorderDxfId="21" tableBorderDxfId="19" totalsRowBorderDxfId="18">
  <autoFilter ref="A1:O1246" xr:uid="{2514512F-A367-426C-B2A5-20E2129A050B}"/>
  <sortState xmlns:xlrd2="http://schemas.microsoft.com/office/spreadsheetml/2017/richdata2" ref="A2:O1246">
    <sortCondition ref="H1:H1246"/>
  </sortState>
  <tableColumns count="15">
    <tableColumn id="1" xr3:uid="{54EC0A10-1FC1-4B4C-B62B-5120326EED73}" name="N°" dataDxfId="17">
      <calculatedColumnFormula>ROW(A1)</calculatedColumnFormula>
    </tableColumn>
    <tableColumn id="2" xr3:uid="{D000B056-DD82-4498-B4B4-9A200509DF90}" name="Descrição Sucinta" dataDxfId="16"/>
    <tableColumn id="3" xr3:uid="{0460D489-BD22-4AAA-B4F9-223B8827CC29}" name="Tipo de Item" dataDxfId="15"/>
    <tableColumn id="4" xr3:uid="{90E09D6D-5BE6-4C06-AB07-943B872A060D}" name="Subitem" dataDxfId="14"/>
    <tableColumn id="5" xr3:uid="{467F995B-6818-4CD6-9B12-DBCDD3C6E4DF}" name="Qnt de Itens" dataDxfId="13"/>
    <tableColumn id="15" xr3:uid="{91EC3D91-B8BB-4FFB-9980-B577F41C5715}" name="Valor unitário" dataDxfId="12" dataCellStyle="Moeda"/>
    <tableColumn id="6" xr3:uid="{E50B67A7-59B3-4D92-8108-BFC51847B642}" name="Un" dataDxfId="11"/>
    <tableColumn id="7" xr3:uid="{9D722590-99B9-43EA-B5B9-EC8916A5807D}" name="Ramo de Atividade" dataDxfId="10"/>
    <tableColumn id="8" xr3:uid="{178FA359-5405-4F70-A5E3-93762CD826AB}" name="Valor Total Estimado" dataDxfId="9" dataCellStyle="Moeda">
      <calculatedColumnFormula>Planejamento2024[[#This Row],[Qnt de Itens]]*Planejamento2024[[#This Row],[Valor unitário]]</calculatedColumnFormula>
    </tableColumn>
    <tableColumn id="9" xr3:uid="{F30F5802-07D8-4955-93FA-0B2F7A1A9379}" name="Participação Recursos Externos" dataDxfId="8"/>
    <tableColumn id="10" xr3:uid="{475F7D9D-F957-46A9-864D-F7A430493C6E}" name="Grau de Prioridade" dataDxfId="7"/>
    <tableColumn id="11" xr3:uid="{C8FE2781-7C09-4522-BC53-95DEEB96DAF2}" name="Data desejada do contrato ou Aditivo" dataDxfId="6"/>
    <tableColumn id="12" xr3:uid="{5760C40B-58E1-477D-8B69-2CD39DCD017C}" name="Renovação do Contrato" dataDxfId="5"/>
    <tableColumn id="14" xr3:uid="{99B637E1-FBCB-4704-8703-C4D439426F7C}" name="N° processo de compra" dataDxfId="4"/>
    <tableColumn id="13" xr3:uid="{BBAC38FD-E4D8-4378-8D50-7A706DF8A5E4}" name="Secretaria ou Órgão Requisitante" dataDxfId="3"/>
  </tableColumns>
  <tableStyleInfo name="TableStyleLight8"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00"/>
  <sheetViews>
    <sheetView topLeftCell="D1" zoomScale="55" zoomScaleNormal="55" workbookViewId="0">
      <pane ySplit="1" topLeftCell="A2" activePane="bottomLeft" state="frozen"/>
      <selection activeCell="C1" sqref="C1"/>
      <selection pane="bottomLeft" activeCell="J75" sqref="J75"/>
    </sheetView>
  </sheetViews>
  <sheetFormatPr defaultRowHeight="15"/>
  <cols>
    <col min="1" max="1" width="17.140625" style="1" customWidth="1"/>
    <col min="2" max="2" width="65.42578125" style="1" customWidth="1"/>
    <col min="3" max="3" width="30.7109375" style="1" customWidth="1"/>
    <col min="4" max="4" width="29.7109375" style="1" customWidth="1"/>
    <col min="5" max="5" width="42.42578125" style="1" customWidth="1"/>
    <col min="6" max="6" width="25.140625" style="1" customWidth="1"/>
    <col min="7" max="7" width="40.7109375" style="1" customWidth="1"/>
    <col min="8" max="8" width="33.5703125" style="1" customWidth="1"/>
    <col min="9" max="9" width="37.140625" style="1" customWidth="1"/>
    <col min="10" max="10" width="41" style="1" customWidth="1"/>
    <col min="11" max="11" width="47" style="1" customWidth="1"/>
    <col min="12" max="12" width="48.42578125" style="1" customWidth="1"/>
    <col min="13" max="13" width="34.42578125" style="1" customWidth="1"/>
    <col min="14" max="14" width="42.28515625" style="1" customWidth="1"/>
  </cols>
  <sheetData>
    <row r="1" spans="1:14" ht="110.25" customHeight="1">
      <c r="A1" s="15" t="s">
        <v>0</v>
      </c>
      <c r="B1" s="15" t="s">
        <v>9</v>
      </c>
      <c r="C1" s="15" t="s">
        <v>10</v>
      </c>
      <c r="D1" s="15" t="s">
        <v>1</v>
      </c>
      <c r="E1" s="15" t="s">
        <v>11</v>
      </c>
      <c r="F1" s="15" t="s">
        <v>8</v>
      </c>
      <c r="G1" s="15" t="s">
        <v>2</v>
      </c>
      <c r="H1" s="15" t="s">
        <v>15</v>
      </c>
      <c r="I1" s="15" t="s">
        <v>3</v>
      </c>
      <c r="J1" s="15" t="s">
        <v>4</v>
      </c>
      <c r="K1" s="15" t="s">
        <v>5</v>
      </c>
      <c r="L1" s="15" t="s">
        <v>6</v>
      </c>
      <c r="M1" s="15" t="s">
        <v>7</v>
      </c>
      <c r="N1" s="15" t="s">
        <v>12</v>
      </c>
    </row>
    <row r="2" spans="1:14" ht="63">
      <c r="A2" s="16">
        <v>1</v>
      </c>
      <c r="B2" s="16" t="s">
        <v>384</v>
      </c>
      <c r="C2" s="16" t="s">
        <v>304</v>
      </c>
      <c r="D2" s="16" t="s">
        <v>309</v>
      </c>
      <c r="E2" s="17">
        <v>300</v>
      </c>
      <c r="F2" s="16" t="s">
        <v>303</v>
      </c>
      <c r="G2" s="16" t="s">
        <v>310</v>
      </c>
      <c r="H2" s="18">
        <v>20.079999999999998</v>
      </c>
      <c r="I2" s="18">
        <v>6024</v>
      </c>
      <c r="J2" s="16" t="s">
        <v>20</v>
      </c>
      <c r="K2" s="16" t="s">
        <v>305</v>
      </c>
      <c r="L2" s="19">
        <v>45352</v>
      </c>
      <c r="M2" s="16" t="s">
        <v>386</v>
      </c>
      <c r="N2" s="16" t="s">
        <v>306</v>
      </c>
    </row>
    <row r="3" spans="1:14" ht="63">
      <c r="A3" s="16">
        <v>2</v>
      </c>
      <c r="B3" s="16" t="s">
        <v>307</v>
      </c>
      <c r="C3" s="16" t="s">
        <v>304</v>
      </c>
      <c r="D3" s="16" t="s">
        <v>308</v>
      </c>
      <c r="E3" s="17">
        <v>200</v>
      </c>
      <c r="F3" s="16" t="s">
        <v>58</v>
      </c>
      <c r="G3" s="16" t="s">
        <v>310</v>
      </c>
      <c r="H3" s="18">
        <v>11.64</v>
      </c>
      <c r="I3" s="18">
        <v>2328</v>
      </c>
      <c r="J3" s="16" t="s">
        <v>20</v>
      </c>
      <c r="K3" s="16" t="s">
        <v>305</v>
      </c>
      <c r="L3" s="19">
        <v>45352</v>
      </c>
      <c r="M3" s="16" t="s">
        <v>386</v>
      </c>
      <c r="N3" s="16" t="s">
        <v>306</v>
      </c>
    </row>
    <row r="4" spans="1:14" ht="63">
      <c r="A4" s="16">
        <v>3</v>
      </c>
      <c r="B4" s="16" t="s">
        <v>311</v>
      </c>
      <c r="C4" s="16" t="s">
        <v>304</v>
      </c>
      <c r="D4" s="16" t="s">
        <v>308</v>
      </c>
      <c r="E4" s="17">
        <v>100</v>
      </c>
      <c r="F4" s="16" t="s">
        <v>303</v>
      </c>
      <c r="G4" s="16" t="s">
        <v>310</v>
      </c>
      <c r="H4" s="18">
        <v>39.9</v>
      </c>
      <c r="I4" s="18">
        <v>3990</v>
      </c>
      <c r="J4" s="16" t="s">
        <v>20</v>
      </c>
      <c r="K4" s="16" t="s">
        <v>305</v>
      </c>
      <c r="L4" s="19">
        <v>45352</v>
      </c>
      <c r="M4" s="16" t="s">
        <v>386</v>
      </c>
      <c r="N4" s="16" t="s">
        <v>306</v>
      </c>
    </row>
    <row r="5" spans="1:14" ht="98.25" customHeight="1">
      <c r="A5" s="16">
        <v>4</v>
      </c>
      <c r="B5" s="16" t="s">
        <v>312</v>
      </c>
      <c r="C5" s="16" t="s">
        <v>304</v>
      </c>
      <c r="D5" s="16" t="s">
        <v>308</v>
      </c>
      <c r="E5" s="17">
        <v>20</v>
      </c>
      <c r="F5" s="16" t="s">
        <v>33</v>
      </c>
      <c r="G5" s="16" t="s">
        <v>310</v>
      </c>
      <c r="H5" s="18">
        <v>17.489999999999998</v>
      </c>
      <c r="I5" s="18">
        <v>349.8</v>
      </c>
      <c r="J5" s="16" t="s">
        <v>20</v>
      </c>
      <c r="K5" s="16" t="s">
        <v>305</v>
      </c>
      <c r="L5" s="19">
        <v>45352</v>
      </c>
      <c r="M5" s="16" t="s">
        <v>386</v>
      </c>
      <c r="N5" s="16" t="s">
        <v>306</v>
      </c>
    </row>
    <row r="6" spans="1:14" ht="63">
      <c r="A6" s="16">
        <v>5</v>
      </c>
      <c r="B6" s="16" t="s">
        <v>313</v>
      </c>
      <c r="C6" s="16" t="s">
        <v>304</v>
      </c>
      <c r="D6" s="16" t="s">
        <v>308</v>
      </c>
      <c r="E6" s="17">
        <v>60</v>
      </c>
      <c r="F6" s="16" t="s">
        <v>314</v>
      </c>
      <c r="G6" s="16" t="s">
        <v>310</v>
      </c>
      <c r="H6" s="18">
        <v>5.74</v>
      </c>
      <c r="I6" s="18">
        <v>344.4</v>
      </c>
      <c r="J6" s="16" t="s">
        <v>20</v>
      </c>
      <c r="K6" s="16" t="s">
        <v>305</v>
      </c>
      <c r="L6" s="19">
        <v>45352</v>
      </c>
      <c r="M6" s="16" t="s">
        <v>386</v>
      </c>
      <c r="N6" s="16" t="s">
        <v>306</v>
      </c>
    </row>
    <row r="7" spans="1:14" ht="63">
      <c r="A7" s="16">
        <v>6</v>
      </c>
      <c r="B7" s="16" t="s">
        <v>315</v>
      </c>
      <c r="C7" s="16" t="s">
        <v>304</v>
      </c>
      <c r="D7" s="16" t="s">
        <v>308</v>
      </c>
      <c r="E7" s="17">
        <v>2000</v>
      </c>
      <c r="F7" s="16" t="s">
        <v>316</v>
      </c>
      <c r="G7" s="16" t="s">
        <v>310</v>
      </c>
      <c r="H7" s="18">
        <v>7.76</v>
      </c>
      <c r="I7" s="18">
        <v>15520</v>
      </c>
      <c r="J7" s="16" t="s">
        <v>20</v>
      </c>
      <c r="K7" s="16" t="s">
        <v>305</v>
      </c>
      <c r="L7" s="19">
        <v>45352</v>
      </c>
      <c r="M7" s="16" t="s">
        <v>386</v>
      </c>
      <c r="N7" s="16" t="s">
        <v>306</v>
      </c>
    </row>
    <row r="8" spans="1:14" ht="63">
      <c r="A8" s="16">
        <v>7</v>
      </c>
      <c r="B8" s="16" t="s">
        <v>317</v>
      </c>
      <c r="C8" s="16" t="s">
        <v>304</v>
      </c>
      <c r="D8" s="16" t="s">
        <v>308</v>
      </c>
      <c r="E8" s="17">
        <v>2000</v>
      </c>
      <c r="F8" s="16" t="s">
        <v>316</v>
      </c>
      <c r="G8" s="16" t="s">
        <v>310</v>
      </c>
      <c r="H8" s="18">
        <v>5.76</v>
      </c>
      <c r="I8" s="18">
        <v>11520</v>
      </c>
      <c r="J8" s="16" t="s">
        <v>20</v>
      </c>
      <c r="K8" s="16" t="s">
        <v>305</v>
      </c>
      <c r="L8" s="19">
        <v>45352</v>
      </c>
      <c r="M8" s="16" t="s">
        <v>386</v>
      </c>
      <c r="N8" s="16" t="s">
        <v>306</v>
      </c>
    </row>
    <row r="9" spans="1:14" ht="63">
      <c r="A9" s="16">
        <v>8</v>
      </c>
      <c r="B9" s="16" t="s">
        <v>318</v>
      </c>
      <c r="C9" s="16" t="s">
        <v>304</v>
      </c>
      <c r="D9" s="16" t="s">
        <v>309</v>
      </c>
      <c r="E9" s="17">
        <v>400</v>
      </c>
      <c r="F9" s="16" t="s">
        <v>303</v>
      </c>
      <c r="G9" s="16" t="s">
        <v>310</v>
      </c>
      <c r="H9" s="18">
        <v>27.6</v>
      </c>
      <c r="I9" s="18">
        <v>11040</v>
      </c>
      <c r="J9" s="16" t="s">
        <v>20</v>
      </c>
      <c r="K9" s="16" t="s">
        <v>305</v>
      </c>
      <c r="L9" s="19">
        <v>45352</v>
      </c>
      <c r="M9" s="16" t="s">
        <v>386</v>
      </c>
      <c r="N9" s="16" t="s">
        <v>306</v>
      </c>
    </row>
    <row r="10" spans="1:14" ht="63">
      <c r="A10" s="16">
        <v>9</v>
      </c>
      <c r="B10" s="16" t="s">
        <v>319</v>
      </c>
      <c r="C10" s="16" t="s">
        <v>304</v>
      </c>
      <c r="D10" s="16" t="s">
        <v>308</v>
      </c>
      <c r="E10" s="17">
        <v>600</v>
      </c>
      <c r="F10" s="16" t="s">
        <v>314</v>
      </c>
      <c r="G10" s="16" t="s">
        <v>310</v>
      </c>
      <c r="H10" s="18">
        <v>2.4500000000000002</v>
      </c>
      <c r="I10" s="18">
        <v>1470</v>
      </c>
      <c r="J10" s="16" t="s">
        <v>20</v>
      </c>
      <c r="K10" s="16" t="s">
        <v>305</v>
      </c>
      <c r="L10" s="19">
        <v>45352</v>
      </c>
      <c r="M10" s="16" t="s">
        <v>386</v>
      </c>
      <c r="N10" s="16" t="s">
        <v>306</v>
      </c>
    </row>
    <row r="11" spans="1:14" ht="63">
      <c r="A11" s="16">
        <v>10</v>
      </c>
      <c r="B11" s="16" t="s">
        <v>320</v>
      </c>
      <c r="C11" s="16" t="s">
        <v>304</v>
      </c>
      <c r="D11" s="16" t="s">
        <v>308</v>
      </c>
      <c r="E11" s="17">
        <v>300</v>
      </c>
      <c r="F11" s="16" t="s">
        <v>33</v>
      </c>
      <c r="G11" s="16" t="s">
        <v>310</v>
      </c>
      <c r="H11" s="18">
        <v>1.75</v>
      </c>
      <c r="I11" s="18">
        <v>525</v>
      </c>
      <c r="J11" s="16" t="s">
        <v>20</v>
      </c>
      <c r="K11" s="16" t="s">
        <v>305</v>
      </c>
      <c r="L11" s="19">
        <v>45352</v>
      </c>
      <c r="M11" s="16" t="s">
        <v>386</v>
      </c>
      <c r="N11" s="16" t="s">
        <v>306</v>
      </c>
    </row>
    <row r="12" spans="1:14" ht="94.5">
      <c r="A12" s="16">
        <v>11</v>
      </c>
      <c r="B12" s="16" t="s">
        <v>321</v>
      </c>
      <c r="C12" s="16" t="s">
        <v>304</v>
      </c>
      <c r="D12" s="16" t="s">
        <v>308</v>
      </c>
      <c r="E12" s="17">
        <v>80</v>
      </c>
      <c r="F12" s="16" t="s">
        <v>322</v>
      </c>
      <c r="G12" s="16" t="s">
        <v>310</v>
      </c>
      <c r="H12" s="18">
        <v>17.21</v>
      </c>
      <c r="I12" s="18">
        <v>1376.8</v>
      </c>
      <c r="J12" s="16" t="s">
        <v>20</v>
      </c>
      <c r="K12" s="16" t="s">
        <v>305</v>
      </c>
      <c r="L12" s="19">
        <v>45352</v>
      </c>
      <c r="M12" s="16" t="s">
        <v>386</v>
      </c>
      <c r="N12" s="16" t="s">
        <v>306</v>
      </c>
    </row>
    <row r="13" spans="1:14" ht="63">
      <c r="A13" s="16">
        <v>12</v>
      </c>
      <c r="B13" s="16" t="s">
        <v>323</v>
      </c>
      <c r="C13" s="16" t="s">
        <v>304</v>
      </c>
      <c r="D13" s="16" t="s">
        <v>308</v>
      </c>
      <c r="E13" s="17">
        <v>20</v>
      </c>
      <c r="F13" s="16" t="s">
        <v>52</v>
      </c>
      <c r="G13" s="16" t="s">
        <v>310</v>
      </c>
      <c r="H13" s="18">
        <v>43.5</v>
      </c>
      <c r="I13" s="18">
        <v>3480</v>
      </c>
      <c r="J13" s="16" t="s">
        <v>20</v>
      </c>
      <c r="K13" s="16" t="s">
        <v>305</v>
      </c>
      <c r="L13" s="19">
        <v>45352</v>
      </c>
      <c r="M13" s="16" t="s">
        <v>386</v>
      </c>
      <c r="N13" s="16" t="s">
        <v>306</v>
      </c>
    </row>
    <row r="14" spans="1:14" ht="63">
      <c r="A14" s="16">
        <v>13</v>
      </c>
      <c r="B14" s="16" t="s">
        <v>324</v>
      </c>
      <c r="C14" s="16" t="s">
        <v>325</v>
      </c>
      <c r="D14" s="16" t="s">
        <v>308</v>
      </c>
      <c r="E14" s="17">
        <v>20</v>
      </c>
      <c r="F14" s="16" t="s">
        <v>52</v>
      </c>
      <c r="G14" s="16" t="s">
        <v>310</v>
      </c>
      <c r="H14" s="18">
        <v>43.5</v>
      </c>
      <c r="I14" s="18">
        <v>3480</v>
      </c>
      <c r="J14" s="16" t="s">
        <v>20</v>
      </c>
      <c r="K14" s="16" t="s">
        <v>305</v>
      </c>
      <c r="L14" s="19">
        <v>45352</v>
      </c>
      <c r="M14" s="16" t="s">
        <v>386</v>
      </c>
      <c r="N14" s="16" t="s">
        <v>306</v>
      </c>
    </row>
    <row r="15" spans="1:14" ht="63">
      <c r="A15" s="16">
        <v>14</v>
      </c>
      <c r="B15" s="16" t="s">
        <v>326</v>
      </c>
      <c r="C15" s="16" t="s">
        <v>304</v>
      </c>
      <c r="D15" s="16" t="s">
        <v>308</v>
      </c>
      <c r="E15" s="17">
        <v>400</v>
      </c>
      <c r="F15" s="16" t="s">
        <v>33</v>
      </c>
      <c r="G15" s="16" t="s">
        <v>310</v>
      </c>
      <c r="H15" s="18">
        <v>5.54</v>
      </c>
      <c r="I15" s="18">
        <v>2216</v>
      </c>
      <c r="J15" s="16" t="s">
        <v>20</v>
      </c>
      <c r="K15" s="16" t="s">
        <v>305</v>
      </c>
      <c r="L15" s="19">
        <v>45352</v>
      </c>
      <c r="M15" s="16" t="s">
        <v>386</v>
      </c>
      <c r="N15" s="16" t="s">
        <v>306</v>
      </c>
    </row>
    <row r="16" spans="1:14" ht="63">
      <c r="A16" s="16">
        <v>15</v>
      </c>
      <c r="B16" s="16" t="s">
        <v>327</v>
      </c>
      <c r="C16" s="16" t="s">
        <v>304</v>
      </c>
      <c r="D16" s="16" t="s">
        <v>308</v>
      </c>
      <c r="E16" s="17">
        <v>100</v>
      </c>
      <c r="F16" s="16" t="s">
        <v>314</v>
      </c>
      <c r="G16" s="16" t="s">
        <v>310</v>
      </c>
      <c r="H16" s="18">
        <v>3.79</v>
      </c>
      <c r="I16" s="18">
        <v>379</v>
      </c>
      <c r="J16" s="16" t="s">
        <v>20</v>
      </c>
      <c r="K16" s="16" t="s">
        <v>305</v>
      </c>
      <c r="L16" s="19">
        <v>45352</v>
      </c>
      <c r="M16" s="16" t="s">
        <v>386</v>
      </c>
      <c r="N16" s="16" t="s">
        <v>306</v>
      </c>
    </row>
    <row r="17" spans="1:14" ht="63">
      <c r="A17" s="16">
        <v>16</v>
      </c>
      <c r="B17" s="16" t="s">
        <v>328</v>
      </c>
      <c r="C17" s="16" t="s">
        <v>304</v>
      </c>
      <c r="D17" s="16" t="s">
        <v>308</v>
      </c>
      <c r="E17" s="17">
        <v>4000</v>
      </c>
      <c r="F17" s="16" t="s">
        <v>89</v>
      </c>
      <c r="G17" s="16" t="s">
        <v>310</v>
      </c>
      <c r="H17" s="18">
        <v>2.08</v>
      </c>
      <c r="I17" s="18">
        <v>8320</v>
      </c>
      <c r="J17" s="16" t="s">
        <v>20</v>
      </c>
      <c r="K17" s="16" t="s">
        <v>331</v>
      </c>
      <c r="L17" s="19">
        <v>45352</v>
      </c>
      <c r="M17" s="16" t="s">
        <v>386</v>
      </c>
      <c r="N17" s="16" t="s">
        <v>306</v>
      </c>
    </row>
    <row r="18" spans="1:14" ht="63">
      <c r="A18" s="16">
        <v>17</v>
      </c>
      <c r="B18" s="16" t="s">
        <v>329</v>
      </c>
      <c r="C18" s="16" t="s">
        <v>325</v>
      </c>
      <c r="D18" s="16" t="s">
        <v>308</v>
      </c>
      <c r="E18" s="17">
        <v>2000</v>
      </c>
      <c r="F18" s="16" t="s">
        <v>52</v>
      </c>
      <c r="G18" s="16" t="s">
        <v>310</v>
      </c>
      <c r="H18" s="18">
        <v>20.99</v>
      </c>
      <c r="I18" s="18">
        <v>41980</v>
      </c>
      <c r="J18" s="16" t="s">
        <v>20</v>
      </c>
      <c r="K18" s="16" t="s">
        <v>331</v>
      </c>
      <c r="L18" s="19">
        <v>45352</v>
      </c>
      <c r="M18" s="16" t="s">
        <v>386</v>
      </c>
      <c r="N18" s="16" t="s">
        <v>306</v>
      </c>
    </row>
    <row r="19" spans="1:14" ht="63">
      <c r="A19" s="16">
        <v>18</v>
      </c>
      <c r="B19" s="16" t="s">
        <v>330</v>
      </c>
      <c r="C19" s="16" t="s">
        <v>304</v>
      </c>
      <c r="D19" s="16" t="s">
        <v>309</v>
      </c>
      <c r="E19" s="17">
        <v>600</v>
      </c>
      <c r="F19" s="16" t="s">
        <v>314</v>
      </c>
      <c r="G19" s="16" t="s">
        <v>310</v>
      </c>
      <c r="H19" s="18">
        <v>2.99</v>
      </c>
      <c r="I19" s="18">
        <v>1794</v>
      </c>
      <c r="J19" s="16" t="s">
        <v>20</v>
      </c>
      <c r="K19" s="16" t="s">
        <v>305</v>
      </c>
      <c r="L19" s="19">
        <v>45352</v>
      </c>
      <c r="M19" s="16" t="s">
        <v>386</v>
      </c>
      <c r="N19" s="16" t="s">
        <v>306</v>
      </c>
    </row>
    <row r="20" spans="1:14" ht="63">
      <c r="A20" s="16">
        <v>19</v>
      </c>
      <c r="B20" s="16" t="s">
        <v>332</v>
      </c>
      <c r="C20" s="16" t="s">
        <v>304</v>
      </c>
      <c r="D20" s="16" t="s">
        <v>308</v>
      </c>
      <c r="E20" s="17">
        <v>60</v>
      </c>
      <c r="F20" s="16" t="s">
        <v>52</v>
      </c>
      <c r="G20" s="16" t="s">
        <v>310</v>
      </c>
      <c r="H20" s="18">
        <v>15.74</v>
      </c>
      <c r="I20" s="18">
        <v>944.4</v>
      </c>
      <c r="J20" s="16" t="s">
        <v>20</v>
      </c>
      <c r="K20" s="16" t="s">
        <v>305</v>
      </c>
      <c r="L20" s="19">
        <v>45352</v>
      </c>
      <c r="M20" s="16" t="s">
        <v>386</v>
      </c>
      <c r="N20" s="16" t="s">
        <v>306</v>
      </c>
    </row>
    <row r="21" spans="1:14" ht="63">
      <c r="A21" s="16">
        <v>20</v>
      </c>
      <c r="B21" s="16" t="s">
        <v>333</v>
      </c>
      <c r="C21" s="16" t="s">
        <v>325</v>
      </c>
      <c r="D21" s="16" t="s">
        <v>308</v>
      </c>
      <c r="E21" s="17">
        <v>350</v>
      </c>
      <c r="F21" s="16" t="s">
        <v>303</v>
      </c>
      <c r="G21" s="16" t="s">
        <v>310</v>
      </c>
      <c r="H21" s="18">
        <v>28.44</v>
      </c>
      <c r="I21" s="18">
        <v>9954</v>
      </c>
      <c r="J21" s="16" t="s">
        <v>20</v>
      </c>
      <c r="K21" s="16" t="s">
        <v>305</v>
      </c>
      <c r="L21" s="19">
        <v>45352</v>
      </c>
      <c r="M21" s="16" t="s">
        <v>386</v>
      </c>
      <c r="N21" s="16" t="s">
        <v>306</v>
      </c>
    </row>
    <row r="22" spans="1:14" ht="63">
      <c r="A22" s="16">
        <v>21</v>
      </c>
      <c r="B22" s="16" t="s">
        <v>334</v>
      </c>
      <c r="C22" s="16" t="s">
        <v>325</v>
      </c>
      <c r="D22" s="16" t="s">
        <v>309</v>
      </c>
      <c r="E22" s="17">
        <v>200</v>
      </c>
      <c r="F22" s="16" t="s">
        <v>105</v>
      </c>
      <c r="G22" s="16" t="s">
        <v>310</v>
      </c>
      <c r="H22" s="18">
        <v>64.510000000000005</v>
      </c>
      <c r="I22" s="18">
        <v>12902</v>
      </c>
      <c r="J22" s="16" t="s">
        <v>20</v>
      </c>
      <c r="K22" s="16" t="s">
        <v>331</v>
      </c>
      <c r="L22" s="19">
        <v>45352</v>
      </c>
      <c r="M22" s="16" t="s">
        <v>386</v>
      </c>
      <c r="N22" s="16" t="s">
        <v>306</v>
      </c>
    </row>
    <row r="23" spans="1:14" ht="63">
      <c r="A23" s="16">
        <v>22</v>
      </c>
      <c r="B23" s="16" t="s">
        <v>335</v>
      </c>
      <c r="C23" s="16" t="s">
        <v>304</v>
      </c>
      <c r="D23" s="16" t="s">
        <v>308</v>
      </c>
      <c r="E23" s="17">
        <v>200</v>
      </c>
      <c r="F23" s="16" t="s">
        <v>105</v>
      </c>
      <c r="G23" s="16" t="s">
        <v>310</v>
      </c>
      <c r="H23" s="18">
        <v>35.299999999999997</v>
      </c>
      <c r="I23" s="18">
        <v>7060</v>
      </c>
      <c r="J23" s="16" t="s">
        <v>20</v>
      </c>
      <c r="K23" s="16" t="s">
        <v>331</v>
      </c>
      <c r="L23" s="19">
        <v>45352</v>
      </c>
      <c r="M23" s="16" t="s">
        <v>386</v>
      </c>
      <c r="N23" s="16" t="s">
        <v>306</v>
      </c>
    </row>
    <row r="24" spans="1:14" ht="63">
      <c r="A24" s="16">
        <v>23</v>
      </c>
      <c r="B24" s="16" t="s">
        <v>385</v>
      </c>
      <c r="C24" s="16" t="s">
        <v>304</v>
      </c>
      <c r="D24" s="16" t="s">
        <v>308</v>
      </c>
      <c r="E24" s="17">
        <v>200</v>
      </c>
      <c r="F24" s="16" t="s">
        <v>105</v>
      </c>
      <c r="G24" s="16" t="s">
        <v>310</v>
      </c>
      <c r="H24" s="18">
        <v>84.2</v>
      </c>
      <c r="I24" s="18">
        <v>3368</v>
      </c>
      <c r="J24" s="16" t="s">
        <v>20</v>
      </c>
      <c r="K24" s="16" t="s">
        <v>331</v>
      </c>
      <c r="L24" s="19">
        <v>45352</v>
      </c>
      <c r="M24" s="16" t="s">
        <v>386</v>
      </c>
      <c r="N24" s="16" t="s">
        <v>306</v>
      </c>
    </row>
    <row r="25" spans="1:14" ht="63">
      <c r="A25" s="16">
        <v>24</v>
      </c>
      <c r="B25" s="16" t="s">
        <v>336</v>
      </c>
      <c r="C25" s="16" t="s">
        <v>304</v>
      </c>
      <c r="D25" s="16" t="s">
        <v>308</v>
      </c>
      <c r="E25" s="17">
        <v>40</v>
      </c>
      <c r="F25" s="16" t="s">
        <v>314</v>
      </c>
      <c r="G25" s="16" t="s">
        <v>310</v>
      </c>
      <c r="H25" s="18">
        <v>10.32</v>
      </c>
      <c r="I25" s="18">
        <v>412.8</v>
      </c>
      <c r="J25" s="16" t="s">
        <v>20</v>
      </c>
      <c r="K25" s="16" t="s">
        <v>305</v>
      </c>
      <c r="L25" s="19">
        <v>45352</v>
      </c>
      <c r="M25" s="16" t="s">
        <v>386</v>
      </c>
      <c r="N25" s="16" t="s">
        <v>306</v>
      </c>
    </row>
    <row r="26" spans="1:14" ht="63">
      <c r="A26" s="16">
        <v>25</v>
      </c>
      <c r="B26" s="16" t="s">
        <v>337</v>
      </c>
      <c r="C26" s="16" t="s">
        <v>304</v>
      </c>
      <c r="D26" s="16" t="s">
        <v>308</v>
      </c>
      <c r="E26" s="17">
        <v>50</v>
      </c>
      <c r="F26" s="16" t="s">
        <v>314</v>
      </c>
      <c r="G26" s="16" t="s">
        <v>310</v>
      </c>
      <c r="H26" s="18">
        <v>10.5</v>
      </c>
      <c r="I26" s="18">
        <v>525</v>
      </c>
      <c r="J26" s="16" t="s">
        <v>20</v>
      </c>
      <c r="K26" s="16" t="s">
        <v>305</v>
      </c>
      <c r="L26" s="19">
        <v>45352</v>
      </c>
      <c r="M26" s="16" t="s">
        <v>386</v>
      </c>
      <c r="N26" s="16" t="s">
        <v>306</v>
      </c>
    </row>
    <row r="27" spans="1:14" ht="63">
      <c r="A27" s="16">
        <v>26</v>
      </c>
      <c r="B27" s="16" t="s">
        <v>338</v>
      </c>
      <c r="C27" s="16" t="s">
        <v>304</v>
      </c>
      <c r="D27" s="16" t="s">
        <v>308</v>
      </c>
      <c r="E27" s="17">
        <v>1000</v>
      </c>
      <c r="F27" s="16" t="s">
        <v>52</v>
      </c>
      <c r="G27" s="16" t="s">
        <v>339</v>
      </c>
      <c r="H27" s="18">
        <v>10.199999999999999</v>
      </c>
      <c r="I27" s="18">
        <v>10200</v>
      </c>
      <c r="J27" s="16" t="s">
        <v>20</v>
      </c>
      <c r="K27" s="16" t="s">
        <v>331</v>
      </c>
      <c r="L27" s="19">
        <v>45383</v>
      </c>
      <c r="M27" s="16" t="s">
        <v>386</v>
      </c>
      <c r="N27" s="16" t="s">
        <v>306</v>
      </c>
    </row>
    <row r="28" spans="1:14" ht="63">
      <c r="A28" s="16">
        <v>27</v>
      </c>
      <c r="B28" s="16" t="s">
        <v>340</v>
      </c>
      <c r="C28" s="16" t="s">
        <v>304</v>
      </c>
      <c r="D28" s="16" t="s">
        <v>308</v>
      </c>
      <c r="E28" s="17">
        <v>1000</v>
      </c>
      <c r="F28" s="16" t="s">
        <v>322</v>
      </c>
      <c r="G28" s="16" t="s">
        <v>339</v>
      </c>
      <c r="H28" s="18">
        <v>13.32</v>
      </c>
      <c r="I28" s="18">
        <v>13320</v>
      </c>
      <c r="J28" s="16" t="s">
        <v>20</v>
      </c>
      <c r="K28" s="16" t="s">
        <v>331</v>
      </c>
      <c r="L28" s="19">
        <v>45383</v>
      </c>
      <c r="M28" s="16" t="s">
        <v>20</v>
      </c>
      <c r="N28" s="16" t="s">
        <v>306</v>
      </c>
    </row>
    <row r="29" spans="1:14" ht="63">
      <c r="A29" s="16">
        <v>28</v>
      </c>
      <c r="B29" s="16" t="s">
        <v>341</v>
      </c>
      <c r="C29" s="16" t="s">
        <v>304</v>
      </c>
      <c r="D29" s="16" t="s">
        <v>308</v>
      </c>
      <c r="E29" s="17">
        <v>400</v>
      </c>
      <c r="F29" s="16" t="s">
        <v>314</v>
      </c>
      <c r="G29" s="16" t="s">
        <v>339</v>
      </c>
      <c r="H29" s="18">
        <v>11.49</v>
      </c>
      <c r="I29" s="18">
        <v>4596</v>
      </c>
      <c r="J29" s="16" t="s">
        <v>20</v>
      </c>
      <c r="K29" s="16" t="s">
        <v>331</v>
      </c>
      <c r="L29" s="19">
        <v>45383</v>
      </c>
      <c r="M29" s="16" t="s">
        <v>20</v>
      </c>
      <c r="N29" s="16" t="s">
        <v>306</v>
      </c>
    </row>
    <row r="30" spans="1:14" ht="63">
      <c r="A30" s="16">
        <v>29</v>
      </c>
      <c r="B30" s="16" t="s">
        <v>342</v>
      </c>
      <c r="C30" s="16" t="s">
        <v>304</v>
      </c>
      <c r="D30" s="16" t="s">
        <v>308</v>
      </c>
      <c r="E30" s="17">
        <v>4230</v>
      </c>
      <c r="F30" s="16" t="s">
        <v>303</v>
      </c>
      <c r="G30" s="16" t="s">
        <v>343</v>
      </c>
      <c r="H30" s="18">
        <v>13.24</v>
      </c>
      <c r="I30" s="18">
        <v>56005.2</v>
      </c>
      <c r="J30" s="16" t="s">
        <v>20</v>
      </c>
      <c r="K30" s="16" t="s">
        <v>331</v>
      </c>
      <c r="L30" s="19">
        <v>45323</v>
      </c>
      <c r="M30" s="16" t="s">
        <v>20</v>
      </c>
      <c r="N30" s="16" t="s">
        <v>306</v>
      </c>
    </row>
    <row r="31" spans="1:14" ht="63">
      <c r="A31" s="16">
        <v>30</v>
      </c>
      <c r="B31" s="16" t="s">
        <v>344</v>
      </c>
      <c r="C31" s="16" t="s">
        <v>304</v>
      </c>
      <c r="D31" s="16" t="s">
        <v>308</v>
      </c>
      <c r="E31" s="17">
        <v>30</v>
      </c>
      <c r="F31" s="16" t="s">
        <v>314</v>
      </c>
      <c r="G31" s="16" t="s">
        <v>343</v>
      </c>
      <c r="H31" s="18">
        <v>117.25</v>
      </c>
      <c r="I31" s="18">
        <v>3517.5</v>
      </c>
      <c r="J31" s="16" t="s">
        <v>20</v>
      </c>
      <c r="K31" s="16" t="s">
        <v>331</v>
      </c>
      <c r="L31" s="19">
        <v>45323</v>
      </c>
      <c r="M31" s="16" t="s">
        <v>20</v>
      </c>
      <c r="N31" s="16" t="s">
        <v>306</v>
      </c>
    </row>
    <row r="32" spans="1:14" ht="63">
      <c r="A32" s="16">
        <v>31</v>
      </c>
      <c r="B32" s="16" t="s">
        <v>345</v>
      </c>
      <c r="C32" s="16" t="s">
        <v>325</v>
      </c>
      <c r="D32" s="16" t="s">
        <v>308</v>
      </c>
      <c r="E32" s="17">
        <v>200</v>
      </c>
      <c r="F32" s="16" t="s">
        <v>314</v>
      </c>
      <c r="G32" s="16" t="s">
        <v>343</v>
      </c>
      <c r="H32" s="18">
        <v>449.82</v>
      </c>
      <c r="I32" s="18">
        <v>89964</v>
      </c>
      <c r="J32" s="16" t="s">
        <v>20</v>
      </c>
      <c r="K32" s="16" t="s">
        <v>331</v>
      </c>
      <c r="L32" s="19">
        <v>45323</v>
      </c>
      <c r="M32" s="16" t="s">
        <v>20</v>
      </c>
      <c r="N32" s="16" t="s">
        <v>306</v>
      </c>
    </row>
    <row r="33" spans="1:14" ht="63">
      <c r="A33" s="16">
        <v>32</v>
      </c>
      <c r="B33" s="16" t="s">
        <v>346</v>
      </c>
      <c r="C33" s="16" t="s">
        <v>347</v>
      </c>
      <c r="D33" s="16" t="s">
        <v>348</v>
      </c>
      <c r="E33" s="17">
        <v>5000</v>
      </c>
      <c r="F33" s="16" t="s">
        <v>33</v>
      </c>
      <c r="G33" s="16" t="s">
        <v>349</v>
      </c>
      <c r="H33" s="18">
        <v>0.66</v>
      </c>
      <c r="I33" s="18">
        <v>3300</v>
      </c>
      <c r="J33" s="16" t="s">
        <v>20</v>
      </c>
      <c r="K33" s="16" t="s">
        <v>351</v>
      </c>
      <c r="L33" s="19">
        <v>45323</v>
      </c>
      <c r="M33" s="16" t="s">
        <v>20</v>
      </c>
      <c r="N33" s="16" t="s">
        <v>306</v>
      </c>
    </row>
    <row r="34" spans="1:14" ht="63">
      <c r="A34" s="16">
        <v>33</v>
      </c>
      <c r="B34" s="16" t="s">
        <v>350</v>
      </c>
      <c r="C34" s="16" t="s">
        <v>347</v>
      </c>
      <c r="D34" s="16" t="s">
        <v>348</v>
      </c>
      <c r="E34" s="17">
        <v>3000</v>
      </c>
      <c r="F34" s="16" t="s">
        <v>314</v>
      </c>
      <c r="G34" s="16" t="s">
        <v>349</v>
      </c>
      <c r="H34" s="18">
        <v>0.75</v>
      </c>
      <c r="I34" s="18">
        <v>2250</v>
      </c>
      <c r="J34" s="16" t="s">
        <v>20</v>
      </c>
      <c r="K34" s="16" t="s">
        <v>351</v>
      </c>
      <c r="L34" s="19">
        <v>45323</v>
      </c>
      <c r="M34" s="16" t="s">
        <v>20</v>
      </c>
      <c r="N34" s="16" t="s">
        <v>306</v>
      </c>
    </row>
    <row r="35" spans="1:14" ht="63">
      <c r="A35" s="16">
        <v>34</v>
      </c>
      <c r="B35" s="16" t="s">
        <v>352</v>
      </c>
      <c r="C35" s="16" t="s">
        <v>304</v>
      </c>
      <c r="D35" s="16" t="s">
        <v>308</v>
      </c>
      <c r="E35" s="17">
        <v>10</v>
      </c>
      <c r="F35" s="16" t="s">
        <v>52</v>
      </c>
      <c r="G35" s="16" t="s">
        <v>353</v>
      </c>
      <c r="H35" s="18">
        <v>7.99</v>
      </c>
      <c r="I35" s="18">
        <v>79.900000000000006</v>
      </c>
      <c r="J35" s="16" t="s">
        <v>20</v>
      </c>
      <c r="K35" s="16" t="s">
        <v>305</v>
      </c>
      <c r="L35" s="19">
        <v>45383</v>
      </c>
      <c r="M35" s="16" t="s">
        <v>20</v>
      </c>
      <c r="N35" s="16" t="s">
        <v>306</v>
      </c>
    </row>
    <row r="36" spans="1:14" ht="94.5">
      <c r="A36" s="16">
        <v>35</v>
      </c>
      <c r="B36" s="16" t="s">
        <v>354</v>
      </c>
      <c r="C36" s="16" t="s">
        <v>304</v>
      </c>
      <c r="D36" s="16" t="s">
        <v>308</v>
      </c>
      <c r="E36" s="17">
        <v>1000</v>
      </c>
      <c r="F36" s="16" t="s">
        <v>355</v>
      </c>
      <c r="G36" s="16" t="s">
        <v>356</v>
      </c>
      <c r="H36" s="18">
        <v>10.45</v>
      </c>
      <c r="I36" s="18">
        <v>10450</v>
      </c>
      <c r="J36" s="16" t="s">
        <v>20</v>
      </c>
      <c r="K36" s="16" t="s">
        <v>305</v>
      </c>
      <c r="L36" s="19">
        <v>45383</v>
      </c>
      <c r="M36" s="16" t="s">
        <v>20</v>
      </c>
      <c r="N36" s="16" t="s">
        <v>306</v>
      </c>
    </row>
    <row r="37" spans="1:14" ht="94.5">
      <c r="A37" s="16">
        <v>36</v>
      </c>
      <c r="B37" s="16" t="s">
        <v>357</v>
      </c>
      <c r="C37" s="16" t="s">
        <v>304</v>
      </c>
      <c r="D37" s="16" t="s">
        <v>308</v>
      </c>
      <c r="E37" s="17">
        <v>2500</v>
      </c>
      <c r="F37" s="16" t="s">
        <v>33</v>
      </c>
      <c r="G37" s="16" t="s">
        <v>353</v>
      </c>
      <c r="H37" s="18">
        <v>0.8</v>
      </c>
      <c r="I37" s="18">
        <v>2000</v>
      </c>
      <c r="J37" s="16" t="s">
        <v>20</v>
      </c>
      <c r="K37" s="16" t="s">
        <v>305</v>
      </c>
      <c r="L37" s="19">
        <v>45383</v>
      </c>
      <c r="M37" s="16" t="s">
        <v>20</v>
      </c>
      <c r="N37" s="16" t="s">
        <v>306</v>
      </c>
    </row>
    <row r="38" spans="1:14" ht="63">
      <c r="A38" s="16">
        <v>37</v>
      </c>
      <c r="B38" s="16" t="s">
        <v>358</v>
      </c>
      <c r="C38" s="16" t="s">
        <v>304</v>
      </c>
      <c r="D38" s="16" t="s">
        <v>308</v>
      </c>
      <c r="E38" s="17">
        <v>200</v>
      </c>
      <c r="F38" s="16" t="s">
        <v>57</v>
      </c>
      <c r="G38" s="16" t="s">
        <v>353</v>
      </c>
      <c r="H38" s="18">
        <v>15.75</v>
      </c>
      <c r="I38" s="18">
        <v>3150</v>
      </c>
      <c r="J38" s="16" t="s">
        <v>20</v>
      </c>
      <c r="K38" s="16" t="s">
        <v>305</v>
      </c>
      <c r="L38" s="19">
        <v>45383</v>
      </c>
      <c r="M38" s="16" t="s">
        <v>20</v>
      </c>
      <c r="N38" s="16" t="s">
        <v>306</v>
      </c>
    </row>
    <row r="39" spans="1:14" ht="63">
      <c r="A39" s="16">
        <v>38</v>
      </c>
      <c r="B39" s="16" t="s">
        <v>359</v>
      </c>
      <c r="C39" s="16" t="s">
        <v>304</v>
      </c>
      <c r="D39" s="16" t="s">
        <v>308</v>
      </c>
      <c r="E39" s="17">
        <v>100</v>
      </c>
      <c r="F39" s="16" t="s">
        <v>314</v>
      </c>
      <c r="G39" s="16" t="s">
        <v>353</v>
      </c>
      <c r="H39" s="18">
        <v>5.56</v>
      </c>
      <c r="I39" s="18">
        <v>556</v>
      </c>
      <c r="J39" s="16" t="s">
        <v>20</v>
      </c>
      <c r="K39" s="16" t="s">
        <v>351</v>
      </c>
      <c r="L39" s="19">
        <v>45383</v>
      </c>
      <c r="M39" s="16" t="s">
        <v>20</v>
      </c>
      <c r="N39" s="16" t="s">
        <v>306</v>
      </c>
    </row>
    <row r="40" spans="1:14" ht="63">
      <c r="A40" s="16">
        <v>39</v>
      </c>
      <c r="B40" s="16" t="s">
        <v>360</v>
      </c>
      <c r="C40" s="16" t="s">
        <v>304</v>
      </c>
      <c r="D40" s="16" t="s">
        <v>309</v>
      </c>
      <c r="E40" s="17">
        <v>500</v>
      </c>
      <c r="F40" s="16" t="s">
        <v>314</v>
      </c>
      <c r="G40" s="16" t="s">
        <v>353</v>
      </c>
      <c r="H40" s="18">
        <v>2.94</v>
      </c>
      <c r="I40" s="18">
        <v>1470</v>
      </c>
      <c r="J40" s="16" t="s">
        <v>20</v>
      </c>
      <c r="K40" s="16" t="s">
        <v>351</v>
      </c>
      <c r="L40" s="19">
        <v>45383</v>
      </c>
      <c r="M40" s="16" t="s">
        <v>20</v>
      </c>
      <c r="N40" s="16" t="s">
        <v>306</v>
      </c>
    </row>
    <row r="41" spans="1:14" ht="63">
      <c r="A41" s="16">
        <v>40</v>
      </c>
      <c r="B41" s="16" t="s">
        <v>361</v>
      </c>
      <c r="C41" s="16" t="s">
        <v>325</v>
      </c>
      <c r="D41" s="16" t="s">
        <v>308</v>
      </c>
      <c r="E41" s="17">
        <v>1000</v>
      </c>
      <c r="F41" s="16" t="s">
        <v>33</v>
      </c>
      <c r="G41" s="16" t="s">
        <v>353</v>
      </c>
      <c r="H41" s="18">
        <v>8.15</v>
      </c>
      <c r="I41" s="18">
        <v>8150</v>
      </c>
      <c r="J41" s="16" t="s">
        <v>20</v>
      </c>
      <c r="K41" s="16" t="s">
        <v>351</v>
      </c>
      <c r="L41" s="19">
        <v>45383</v>
      </c>
      <c r="M41" s="16" t="s">
        <v>20</v>
      </c>
      <c r="N41" s="16" t="s">
        <v>306</v>
      </c>
    </row>
    <row r="42" spans="1:14" ht="63">
      <c r="A42" s="16">
        <v>41</v>
      </c>
      <c r="B42" s="16" t="s">
        <v>362</v>
      </c>
      <c r="C42" s="16" t="s">
        <v>304</v>
      </c>
      <c r="D42" s="16" t="s">
        <v>308</v>
      </c>
      <c r="E42" s="17">
        <v>300</v>
      </c>
      <c r="F42" s="16" t="s">
        <v>52</v>
      </c>
      <c r="G42" s="16" t="s">
        <v>353</v>
      </c>
      <c r="H42" s="18">
        <v>3.78</v>
      </c>
      <c r="I42" s="18">
        <v>1134</v>
      </c>
      <c r="J42" s="16" t="s">
        <v>20</v>
      </c>
      <c r="K42" s="16" t="s">
        <v>351</v>
      </c>
      <c r="L42" s="19">
        <v>45383</v>
      </c>
      <c r="M42" s="16" t="s">
        <v>20</v>
      </c>
      <c r="N42" s="16" t="s">
        <v>306</v>
      </c>
    </row>
    <row r="43" spans="1:14" ht="63">
      <c r="A43" s="16">
        <v>42</v>
      </c>
      <c r="B43" s="16" t="s">
        <v>363</v>
      </c>
      <c r="C43" s="16" t="s">
        <v>304</v>
      </c>
      <c r="D43" s="16" t="s">
        <v>308</v>
      </c>
      <c r="E43" s="17">
        <v>2000</v>
      </c>
      <c r="F43" s="16" t="s">
        <v>314</v>
      </c>
      <c r="G43" s="16" t="s">
        <v>353</v>
      </c>
      <c r="H43" s="18">
        <v>0.36</v>
      </c>
      <c r="I43" s="18">
        <v>720</v>
      </c>
      <c r="J43" s="16" t="s">
        <v>20</v>
      </c>
      <c r="K43" s="16" t="s">
        <v>305</v>
      </c>
      <c r="L43" s="19">
        <v>45383</v>
      </c>
      <c r="M43" s="16" t="s">
        <v>20</v>
      </c>
      <c r="N43" s="16" t="s">
        <v>306</v>
      </c>
    </row>
    <row r="44" spans="1:14" ht="126">
      <c r="A44" s="16">
        <v>43</v>
      </c>
      <c r="B44" s="16" t="s">
        <v>364</v>
      </c>
      <c r="C44" s="16" t="s">
        <v>304</v>
      </c>
      <c r="D44" s="16" t="s">
        <v>308</v>
      </c>
      <c r="E44" s="17">
        <v>80</v>
      </c>
      <c r="F44" s="16" t="s">
        <v>314</v>
      </c>
      <c r="G44" s="16" t="s">
        <v>356</v>
      </c>
      <c r="H44" s="18">
        <v>2.94</v>
      </c>
      <c r="I44" s="18">
        <v>233.6</v>
      </c>
      <c r="J44" s="16" t="s">
        <v>20</v>
      </c>
      <c r="K44" s="16" t="s">
        <v>351</v>
      </c>
      <c r="L44" s="19">
        <v>45383</v>
      </c>
      <c r="M44" s="16" t="s">
        <v>20</v>
      </c>
      <c r="N44" s="16" t="s">
        <v>306</v>
      </c>
    </row>
    <row r="45" spans="1:14" ht="63">
      <c r="A45" s="16">
        <v>44</v>
      </c>
      <c r="B45" s="16" t="s">
        <v>365</v>
      </c>
      <c r="C45" s="16" t="s">
        <v>325</v>
      </c>
      <c r="D45" s="16" t="s">
        <v>308</v>
      </c>
      <c r="E45" s="17">
        <v>48</v>
      </c>
      <c r="F45" s="16" t="s">
        <v>33</v>
      </c>
      <c r="G45" s="16" t="s">
        <v>353</v>
      </c>
      <c r="H45" s="18">
        <v>1.89</v>
      </c>
      <c r="I45" s="18">
        <v>90.72</v>
      </c>
      <c r="J45" s="16" t="s">
        <v>20</v>
      </c>
      <c r="K45" s="16" t="s">
        <v>351</v>
      </c>
      <c r="L45" s="19">
        <v>45383</v>
      </c>
      <c r="M45" s="16" t="s">
        <v>20</v>
      </c>
      <c r="N45" s="16" t="s">
        <v>306</v>
      </c>
    </row>
    <row r="46" spans="1:14" ht="157.5">
      <c r="A46" s="16">
        <v>45</v>
      </c>
      <c r="B46" s="16" t="s">
        <v>366</v>
      </c>
      <c r="C46" s="16" t="s">
        <v>304</v>
      </c>
      <c r="D46" s="16" t="s">
        <v>308</v>
      </c>
      <c r="E46" s="17">
        <v>200</v>
      </c>
      <c r="F46" s="16" t="s">
        <v>89</v>
      </c>
      <c r="G46" s="16" t="s">
        <v>353</v>
      </c>
      <c r="H46" s="18">
        <v>6.35</v>
      </c>
      <c r="I46" s="18">
        <v>1270</v>
      </c>
      <c r="J46" s="16" t="s">
        <v>20</v>
      </c>
      <c r="K46" s="16" t="s">
        <v>305</v>
      </c>
      <c r="L46" s="19">
        <v>45383</v>
      </c>
      <c r="M46" s="16" t="s">
        <v>20</v>
      </c>
      <c r="N46" s="16" t="s">
        <v>306</v>
      </c>
    </row>
    <row r="47" spans="1:14" ht="94.5">
      <c r="A47" s="16">
        <v>46</v>
      </c>
      <c r="B47" s="16" t="s">
        <v>367</v>
      </c>
      <c r="C47" s="16" t="s">
        <v>325</v>
      </c>
      <c r="D47" s="16" t="s">
        <v>308</v>
      </c>
      <c r="E47" s="17">
        <v>300</v>
      </c>
      <c r="F47" s="16" t="s">
        <v>314</v>
      </c>
      <c r="G47" s="16" t="s">
        <v>353</v>
      </c>
      <c r="H47" s="18">
        <v>33</v>
      </c>
      <c r="I47" s="18">
        <v>9900</v>
      </c>
      <c r="J47" s="16" t="s">
        <v>20</v>
      </c>
      <c r="K47" s="16" t="s">
        <v>305</v>
      </c>
      <c r="L47" s="19">
        <v>45383</v>
      </c>
      <c r="M47" s="16" t="s">
        <v>20</v>
      </c>
      <c r="N47" s="16" t="s">
        <v>306</v>
      </c>
    </row>
    <row r="48" spans="1:14" ht="63">
      <c r="A48" s="16">
        <v>47</v>
      </c>
      <c r="B48" s="16" t="s">
        <v>368</v>
      </c>
      <c r="C48" s="16" t="s">
        <v>304</v>
      </c>
      <c r="D48" s="16" t="s">
        <v>308</v>
      </c>
      <c r="E48" s="17">
        <v>800</v>
      </c>
      <c r="F48" s="16" t="s">
        <v>57</v>
      </c>
      <c r="G48" s="16" t="s">
        <v>353</v>
      </c>
      <c r="H48" s="18">
        <v>10.5</v>
      </c>
      <c r="I48" s="18">
        <v>8400</v>
      </c>
      <c r="J48" s="16" t="s">
        <v>20</v>
      </c>
      <c r="K48" s="16" t="s">
        <v>305</v>
      </c>
      <c r="L48" s="19">
        <v>45383</v>
      </c>
      <c r="M48" s="16" t="s">
        <v>20</v>
      </c>
      <c r="N48" s="16" t="s">
        <v>306</v>
      </c>
    </row>
    <row r="49" spans="1:14" ht="63">
      <c r="A49" s="16">
        <v>48</v>
      </c>
      <c r="B49" s="16" t="s">
        <v>369</v>
      </c>
      <c r="C49" s="16" t="s">
        <v>325</v>
      </c>
      <c r="D49" s="16" t="s">
        <v>308</v>
      </c>
      <c r="E49" s="17">
        <v>400</v>
      </c>
      <c r="F49" s="16" t="s">
        <v>57</v>
      </c>
      <c r="G49" s="16" t="s">
        <v>353</v>
      </c>
      <c r="H49" s="18">
        <v>16.8</v>
      </c>
      <c r="I49" s="18">
        <v>6720</v>
      </c>
      <c r="J49" s="16" t="s">
        <v>20</v>
      </c>
      <c r="K49" s="16" t="s">
        <v>305</v>
      </c>
      <c r="L49" s="19">
        <v>45383</v>
      </c>
      <c r="M49" s="16" t="s">
        <v>20</v>
      </c>
      <c r="N49" s="16" t="s">
        <v>306</v>
      </c>
    </row>
    <row r="50" spans="1:14" ht="63">
      <c r="A50" s="16">
        <v>49</v>
      </c>
      <c r="B50" s="16" t="s">
        <v>370</v>
      </c>
      <c r="C50" s="16" t="s">
        <v>304</v>
      </c>
      <c r="D50" s="16" t="s">
        <v>308</v>
      </c>
      <c r="E50" s="17">
        <v>8</v>
      </c>
      <c r="F50" s="16" t="s">
        <v>57</v>
      </c>
      <c r="G50" s="16" t="s">
        <v>353</v>
      </c>
      <c r="H50" s="18">
        <v>75.400000000000006</v>
      </c>
      <c r="I50" s="18">
        <v>603.20000000000005</v>
      </c>
      <c r="J50" s="16" t="s">
        <v>20</v>
      </c>
      <c r="K50" s="16" t="s">
        <v>351</v>
      </c>
      <c r="L50" s="19">
        <v>45383</v>
      </c>
      <c r="M50" s="16" t="s">
        <v>20</v>
      </c>
      <c r="N50" s="16" t="s">
        <v>306</v>
      </c>
    </row>
    <row r="51" spans="1:14" ht="63">
      <c r="A51" s="16">
        <v>50</v>
      </c>
      <c r="B51" s="16" t="s">
        <v>371</v>
      </c>
      <c r="C51" s="16" t="s">
        <v>325</v>
      </c>
      <c r="D51" s="16" t="s">
        <v>308</v>
      </c>
      <c r="E51" s="17">
        <v>300</v>
      </c>
      <c r="F51" s="16" t="s">
        <v>314</v>
      </c>
      <c r="G51" s="16" t="s">
        <v>353</v>
      </c>
      <c r="H51" s="18">
        <v>12.6</v>
      </c>
      <c r="I51" s="18">
        <v>3780</v>
      </c>
      <c r="J51" s="16" t="s">
        <v>20</v>
      </c>
      <c r="K51" s="16" t="s">
        <v>305</v>
      </c>
      <c r="L51" s="19">
        <v>45383</v>
      </c>
      <c r="M51" s="16" t="s">
        <v>20</v>
      </c>
      <c r="N51" s="16" t="s">
        <v>306</v>
      </c>
    </row>
    <row r="52" spans="1:14" ht="157.5">
      <c r="A52" s="16">
        <v>51</v>
      </c>
      <c r="B52" s="16" t="s">
        <v>372</v>
      </c>
      <c r="C52" s="16" t="s">
        <v>325</v>
      </c>
      <c r="D52" s="16" t="s">
        <v>308</v>
      </c>
      <c r="E52" s="17">
        <v>20</v>
      </c>
      <c r="F52" s="16" t="s">
        <v>33</v>
      </c>
      <c r="G52" s="16" t="s">
        <v>353</v>
      </c>
      <c r="H52" s="18">
        <v>20.399999999999999</v>
      </c>
      <c r="I52" s="18">
        <v>408</v>
      </c>
      <c r="J52" s="16" t="s">
        <v>20</v>
      </c>
      <c r="K52" s="16" t="s">
        <v>305</v>
      </c>
      <c r="L52" s="19">
        <v>45383</v>
      </c>
      <c r="M52" s="16" t="s">
        <v>20</v>
      </c>
      <c r="N52" s="16" t="s">
        <v>306</v>
      </c>
    </row>
    <row r="53" spans="1:14" ht="94.5">
      <c r="A53" s="16">
        <v>52</v>
      </c>
      <c r="B53" s="16" t="s">
        <v>373</v>
      </c>
      <c r="C53" s="16" t="s">
        <v>325</v>
      </c>
      <c r="D53" s="16" t="s">
        <v>308</v>
      </c>
      <c r="E53" s="17">
        <v>300</v>
      </c>
      <c r="F53" s="16" t="s">
        <v>314</v>
      </c>
      <c r="G53" s="16" t="s">
        <v>356</v>
      </c>
      <c r="H53" s="18">
        <v>12.6</v>
      </c>
      <c r="I53" s="18">
        <v>3780</v>
      </c>
      <c r="J53" s="16" t="s">
        <v>20</v>
      </c>
      <c r="K53" s="16" t="s">
        <v>305</v>
      </c>
      <c r="L53" s="19">
        <v>45383</v>
      </c>
      <c r="M53" s="16" t="s">
        <v>20</v>
      </c>
      <c r="N53" s="16" t="s">
        <v>306</v>
      </c>
    </row>
    <row r="54" spans="1:14" ht="63">
      <c r="A54" s="16">
        <v>53</v>
      </c>
      <c r="B54" s="16" t="s">
        <v>374</v>
      </c>
      <c r="C54" s="16" t="s">
        <v>304</v>
      </c>
      <c r="D54" s="16" t="s">
        <v>308</v>
      </c>
      <c r="E54" s="17">
        <v>100</v>
      </c>
      <c r="F54" s="16" t="s">
        <v>314</v>
      </c>
      <c r="G54" s="16" t="s">
        <v>353</v>
      </c>
      <c r="H54" s="18"/>
      <c r="I54" s="18"/>
      <c r="J54" s="16" t="s">
        <v>20</v>
      </c>
      <c r="K54" s="16" t="s">
        <v>351</v>
      </c>
      <c r="L54" s="19">
        <v>45383</v>
      </c>
      <c r="M54" s="16" t="s">
        <v>20</v>
      </c>
      <c r="N54" s="16" t="s">
        <v>306</v>
      </c>
    </row>
    <row r="55" spans="1:14" ht="63">
      <c r="A55" s="16">
        <v>54</v>
      </c>
      <c r="B55" s="16" t="s">
        <v>375</v>
      </c>
      <c r="C55" s="16" t="s">
        <v>304</v>
      </c>
      <c r="D55" s="16" t="s">
        <v>308</v>
      </c>
      <c r="E55" s="17">
        <v>2000</v>
      </c>
      <c r="F55" s="16" t="s">
        <v>376</v>
      </c>
      <c r="G55" s="16" t="s">
        <v>353</v>
      </c>
      <c r="H55" s="18">
        <v>32</v>
      </c>
      <c r="I55" s="18">
        <v>64000</v>
      </c>
      <c r="J55" s="16" t="s">
        <v>20</v>
      </c>
      <c r="K55" s="16" t="s">
        <v>331</v>
      </c>
      <c r="L55" s="19">
        <v>45383</v>
      </c>
      <c r="M55" s="16" t="s">
        <v>20</v>
      </c>
      <c r="N55" s="16" t="s">
        <v>306</v>
      </c>
    </row>
    <row r="56" spans="1:14" ht="63">
      <c r="A56" s="16">
        <v>55</v>
      </c>
      <c r="B56" s="16" t="s">
        <v>377</v>
      </c>
      <c r="C56" s="16" t="s">
        <v>304</v>
      </c>
      <c r="D56" s="16" t="s">
        <v>308</v>
      </c>
      <c r="E56" s="17">
        <v>500</v>
      </c>
      <c r="F56" s="16" t="s">
        <v>33</v>
      </c>
      <c r="G56" s="16" t="s">
        <v>353</v>
      </c>
      <c r="H56" s="18">
        <v>16.8</v>
      </c>
      <c r="I56" s="18">
        <v>8400</v>
      </c>
      <c r="J56" s="16" t="s">
        <v>20</v>
      </c>
      <c r="K56" s="16" t="s">
        <v>305</v>
      </c>
      <c r="L56" s="19">
        <v>45383</v>
      </c>
      <c r="M56" s="16" t="s">
        <v>20</v>
      </c>
      <c r="N56" s="16" t="s">
        <v>306</v>
      </c>
    </row>
    <row r="57" spans="1:14" ht="63">
      <c r="A57" s="16">
        <v>56</v>
      </c>
      <c r="B57" s="16" t="s">
        <v>378</v>
      </c>
      <c r="C57" s="16" t="s">
        <v>325</v>
      </c>
      <c r="D57" s="16" t="s">
        <v>308</v>
      </c>
      <c r="E57" s="17">
        <v>500</v>
      </c>
      <c r="F57" s="16" t="s">
        <v>314</v>
      </c>
      <c r="G57" s="16" t="s">
        <v>353</v>
      </c>
      <c r="H57" s="18">
        <v>16.8</v>
      </c>
      <c r="I57" s="18">
        <v>8400</v>
      </c>
      <c r="J57" s="16" t="s">
        <v>20</v>
      </c>
      <c r="K57" s="16" t="s">
        <v>305</v>
      </c>
      <c r="L57" s="19">
        <v>45383</v>
      </c>
      <c r="M57" s="16" t="s">
        <v>20</v>
      </c>
      <c r="N57" s="16" t="s">
        <v>306</v>
      </c>
    </row>
    <row r="58" spans="1:14" ht="63">
      <c r="A58" s="16">
        <v>57</v>
      </c>
      <c r="B58" s="16" t="s">
        <v>379</v>
      </c>
      <c r="C58" s="16" t="s">
        <v>304</v>
      </c>
      <c r="D58" s="16" t="s">
        <v>308</v>
      </c>
      <c r="E58" s="17">
        <v>50</v>
      </c>
      <c r="F58" s="16" t="s">
        <v>314</v>
      </c>
      <c r="G58" s="16" t="s">
        <v>353</v>
      </c>
      <c r="H58" s="18">
        <v>126.02</v>
      </c>
      <c r="I58" s="18">
        <v>6301</v>
      </c>
      <c r="J58" s="16" t="s">
        <v>20</v>
      </c>
      <c r="K58" s="16" t="s">
        <v>305</v>
      </c>
      <c r="L58" s="19">
        <v>45383</v>
      </c>
      <c r="M58" s="16" t="s">
        <v>20</v>
      </c>
      <c r="N58" s="16" t="s">
        <v>306</v>
      </c>
    </row>
    <row r="59" spans="1:14" ht="63">
      <c r="A59" s="16">
        <v>58</v>
      </c>
      <c r="B59" s="16" t="s">
        <v>380</v>
      </c>
      <c r="C59" s="16" t="s">
        <v>325</v>
      </c>
      <c r="D59" s="16" t="s">
        <v>308</v>
      </c>
      <c r="E59" s="17">
        <v>100</v>
      </c>
      <c r="F59" s="16" t="s">
        <v>314</v>
      </c>
      <c r="G59" s="16" t="s">
        <v>353</v>
      </c>
      <c r="H59" s="18">
        <v>1.1599999999999999</v>
      </c>
      <c r="I59" s="18">
        <v>116</v>
      </c>
      <c r="J59" s="16" t="s">
        <v>20</v>
      </c>
      <c r="K59" s="16" t="s">
        <v>351</v>
      </c>
      <c r="L59" s="19">
        <v>45383</v>
      </c>
      <c r="M59" s="16" t="s">
        <v>20</v>
      </c>
      <c r="N59" s="16" t="s">
        <v>306</v>
      </c>
    </row>
    <row r="60" spans="1:14" ht="157.5">
      <c r="A60" s="16">
        <v>59</v>
      </c>
      <c r="B60" s="16" t="s">
        <v>381</v>
      </c>
      <c r="C60" s="16" t="s">
        <v>325</v>
      </c>
      <c r="D60" s="16" t="s">
        <v>308</v>
      </c>
      <c r="E60" s="17">
        <v>100</v>
      </c>
      <c r="F60" s="16" t="s">
        <v>314</v>
      </c>
      <c r="G60" s="16" t="s">
        <v>353</v>
      </c>
      <c r="H60" s="18">
        <v>37.799999999999997</v>
      </c>
      <c r="I60" s="18">
        <v>3780</v>
      </c>
      <c r="J60" s="16" t="s">
        <v>20</v>
      </c>
      <c r="K60" s="16" t="s">
        <v>305</v>
      </c>
      <c r="L60" s="19">
        <v>45383</v>
      </c>
      <c r="M60" s="16" t="s">
        <v>20</v>
      </c>
      <c r="N60" s="16" t="s">
        <v>306</v>
      </c>
    </row>
    <row r="61" spans="1:14" ht="63">
      <c r="A61" s="16">
        <v>60</v>
      </c>
      <c r="B61" s="16" t="s">
        <v>382</v>
      </c>
      <c r="C61" s="16" t="s">
        <v>304</v>
      </c>
      <c r="D61" s="16" t="s">
        <v>308</v>
      </c>
      <c r="E61" s="17">
        <v>50</v>
      </c>
      <c r="F61" s="16" t="s">
        <v>33</v>
      </c>
      <c r="G61" s="16" t="s">
        <v>353</v>
      </c>
      <c r="H61" s="18">
        <v>1.64</v>
      </c>
      <c r="I61" s="18">
        <v>82</v>
      </c>
      <c r="J61" s="16" t="s">
        <v>20</v>
      </c>
      <c r="K61" s="16" t="s">
        <v>351</v>
      </c>
      <c r="L61" s="19">
        <v>45383</v>
      </c>
      <c r="M61" s="16" t="s">
        <v>20</v>
      </c>
      <c r="N61" s="16" t="s">
        <v>306</v>
      </c>
    </row>
    <row r="62" spans="1:14" ht="63">
      <c r="A62" s="16">
        <v>61</v>
      </c>
      <c r="B62" s="16" t="s">
        <v>383</v>
      </c>
      <c r="C62" s="16" t="s">
        <v>325</v>
      </c>
      <c r="D62" s="16" t="s">
        <v>308</v>
      </c>
      <c r="E62" s="17">
        <v>10</v>
      </c>
      <c r="F62" s="16" t="s">
        <v>33</v>
      </c>
      <c r="G62" s="16" t="s">
        <v>353</v>
      </c>
      <c r="H62" s="18">
        <v>35.729999999999997</v>
      </c>
      <c r="I62" s="18">
        <v>357.3</v>
      </c>
      <c r="J62" s="16" t="s">
        <v>20</v>
      </c>
      <c r="K62" s="16" t="s">
        <v>351</v>
      </c>
      <c r="L62" s="19">
        <v>45383</v>
      </c>
      <c r="M62" s="16" t="s">
        <v>20</v>
      </c>
      <c r="N62" s="16" t="s">
        <v>306</v>
      </c>
    </row>
    <row r="63" spans="1:14" ht="94.5">
      <c r="A63" s="16">
        <v>62</v>
      </c>
      <c r="B63" s="16" t="s">
        <v>387</v>
      </c>
      <c r="C63" s="16" t="s">
        <v>25</v>
      </c>
      <c r="D63" s="16" t="s">
        <v>388</v>
      </c>
      <c r="E63" s="17">
        <v>1</v>
      </c>
      <c r="F63" s="16" t="s">
        <v>33</v>
      </c>
      <c r="G63" s="16" t="s">
        <v>389</v>
      </c>
      <c r="H63" s="18">
        <v>970835.04</v>
      </c>
      <c r="I63" s="18">
        <v>970835.04</v>
      </c>
      <c r="J63" s="16" t="s">
        <v>20</v>
      </c>
      <c r="K63" s="16" t="s">
        <v>331</v>
      </c>
      <c r="L63" s="19" t="s">
        <v>390</v>
      </c>
      <c r="M63" s="16" t="s">
        <v>391</v>
      </c>
      <c r="N63" s="16" t="s">
        <v>306</v>
      </c>
    </row>
    <row r="64" spans="1:14" ht="94.5">
      <c r="A64" s="16">
        <v>63</v>
      </c>
      <c r="B64" s="16" t="s">
        <v>392</v>
      </c>
      <c r="C64" s="16" t="s">
        <v>25</v>
      </c>
      <c r="D64" s="16" t="s">
        <v>388</v>
      </c>
      <c r="E64" s="17">
        <v>1</v>
      </c>
      <c r="F64" s="16" t="s">
        <v>33</v>
      </c>
      <c r="G64" s="16" t="s">
        <v>393</v>
      </c>
      <c r="H64" s="18">
        <v>200673.94</v>
      </c>
      <c r="I64" s="18">
        <v>200673.94</v>
      </c>
      <c r="J64" s="16" t="s">
        <v>20</v>
      </c>
      <c r="K64" s="16" t="s">
        <v>331</v>
      </c>
      <c r="L64" s="19" t="s">
        <v>394</v>
      </c>
      <c r="M64" s="16" t="s">
        <v>391</v>
      </c>
      <c r="N64" s="16" t="s">
        <v>306</v>
      </c>
    </row>
    <row r="65" spans="1:14" ht="157.5">
      <c r="A65" s="16">
        <v>64</v>
      </c>
      <c r="B65" s="16" t="s">
        <v>397</v>
      </c>
      <c r="C65" s="16" t="s">
        <v>25</v>
      </c>
      <c r="D65" s="16" t="s">
        <v>388</v>
      </c>
      <c r="E65" s="17">
        <v>1</v>
      </c>
      <c r="F65" s="16" t="s">
        <v>33</v>
      </c>
      <c r="G65" s="16" t="s">
        <v>395</v>
      </c>
      <c r="H65" s="18">
        <v>980668.66</v>
      </c>
      <c r="I65" s="18">
        <v>980668.66</v>
      </c>
      <c r="J65" s="16" t="s">
        <v>20</v>
      </c>
      <c r="K65" s="16" t="s">
        <v>331</v>
      </c>
      <c r="L65" s="19" t="s">
        <v>396</v>
      </c>
      <c r="M65" s="16" t="s">
        <v>391</v>
      </c>
      <c r="N65" s="16" t="s">
        <v>306</v>
      </c>
    </row>
    <row r="66" spans="1:14" ht="189">
      <c r="A66" s="16">
        <v>65</v>
      </c>
      <c r="B66" s="16" t="s">
        <v>398</v>
      </c>
      <c r="C66" s="16" t="s">
        <v>25</v>
      </c>
      <c r="D66" s="16" t="s">
        <v>388</v>
      </c>
      <c r="E66" s="17">
        <v>1</v>
      </c>
      <c r="F66" s="16" t="s">
        <v>33</v>
      </c>
      <c r="G66" s="16" t="s">
        <v>400</v>
      </c>
      <c r="H66" s="18">
        <v>840715.2</v>
      </c>
      <c r="I66" s="18">
        <v>840715.2</v>
      </c>
      <c r="J66" s="16" t="s">
        <v>20</v>
      </c>
      <c r="K66" s="16" t="s">
        <v>331</v>
      </c>
      <c r="L66" s="19" t="s">
        <v>399</v>
      </c>
      <c r="M66" s="16" t="s">
        <v>391</v>
      </c>
      <c r="N66" s="16" t="s">
        <v>306</v>
      </c>
    </row>
    <row r="67" spans="1:14" ht="126">
      <c r="A67" s="16">
        <v>66</v>
      </c>
      <c r="B67" s="16" t="s">
        <v>401</v>
      </c>
      <c r="C67" s="16" t="s">
        <v>25</v>
      </c>
      <c r="D67" s="16" t="s">
        <v>388</v>
      </c>
      <c r="E67" s="17">
        <v>1</v>
      </c>
      <c r="F67" s="16" t="s">
        <v>33</v>
      </c>
      <c r="G67" s="16" t="s">
        <v>402</v>
      </c>
      <c r="H67" s="18"/>
      <c r="I67" s="18"/>
      <c r="J67" s="16" t="s">
        <v>20</v>
      </c>
      <c r="K67" s="16" t="s">
        <v>331</v>
      </c>
      <c r="L67" s="19" t="s">
        <v>403</v>
      </c>
      <c r="M67" s="16" t="s">
        <v>391</v>
      </c>
      <c r="N67" s="16" t="s">
        <v>306</v>
      </c>
    </row>
    <row r="68" spans="1:14" ht="63">
      <c r="A68" s="16">
        <v>67</v>
      </c>
      <c r="B68" s="16" t="s">
        <v>404</v>
      </c>
      <c r="C68" s="16" t="s">
        <v>25</v>
      </c>
      <c r="D68" s="16" t="s">
        <v>388</v>
      </c>
      <c r="E68" s="17">
        <v>1</v>
      </c>
      <c r="F68" s="16" t="s">
        <v>33</v>
      </c>
      <c r="G68" s="16" t="s">
        <v>405</v>
      </c>
      <c r="H68" s="18">
        <v>2230.4499999999998</v>
      </c>
      <c r="I68" s="18">
        <v>2230.4499999999998</v>
      </c>
      <c r="J68" s="16" t="s">
        <v>20</v>
      </c>
      <c r="K68" s="16" t="s">
        <v>331</v>
      </c>
      <c r="L68" s="19" t="s">
        <v>406</v>
      </c>
      <c r="M68" s="16" t="s">
        <v>391</v>
      </c>
      <c r="N68" s="16" t="s">
        <v>306</v>
      </c>
    </row>
    <row r="69" spans="1:14" ht="94.5">
      <c r="A69" s="16">
        <v>68</v>
      </c>
      <c r="B69" s="16" t="s">
        <v>407</v>
      </c>
      <c r="C69" s="16" t="s">
        <v>25</v>
      </c>
      <c r="D69" s="16" t="s">
        <v>388</v>
      </c>
      <c r="E69" s="17">
        <v>1</v>
      </c>
      <c r="F69" s="16" t="s">
        <v>33</v>
      </c>
      <c r="G69" s="16" t="s">
        <v>389</v>
      </c>
      <c r="H69" s="18">
        <v>14280</v>
      </c>
      <c r="I69" s="18">
        <v>14280</v>
      </c>
      <c r="J69" s="16" t="s">
        <v>20</v>
      </c>
      <c r="K69" s="16" t="s">
        <v>331</v>
      </c>
      <c r="L69" s="19" t="s">
        <v>408</v>
      </c>
      <c r="M69" s="16" t="s">
        <v>391</v>
      </c>
      <c r="N69" s="16" t="s">
        <v>306</v>
      </c>
    </row>
    <row r="70" spans="1:14">
      <c r="A70" s="6"/>
      <c r="B70" s="6"/>
      <c r="C70" s="6"/>
      <c r="D70" s="6"/>
      <c r="E70" s="7"/>
      <c r="F70" s="6"/>
      <c r="G70" s="6"/>
      <c r="H70" s="8"/>
      <c r="I70" s="8"/>
      <c r="J70" s="6"/>
      <c r="K70" s="6"/>
      <c r="L70" s="9"/>
      <c r="M70" s="6"/>
      <c r="N70" s="6"/>
    </row>
    <row r="71" spans="1:14" ht="33.75">
      <c r="A71" s="6"/>
      <c r="B71" s="6"/>
      <c r="C71" s="6"/>
      <c r="D71" s="6"/>
      <c r="E71" s="7"/>
      <c r="F71" s="14"/>
      <c r="G71" s="14"/>
      <c r="H71" s="13"/>
      <c r="I71" s="13"/>
      <c r="J71" s="13"/>
      <c r="K71" s="13"/>
      <c r="L71" s="13"/>
      <c r="M71" s="14"/>
      <c r="N71" s="14"/>
    </row>
    <row r="72" spans="1:14" ht="18.75">
      <c r="A72" s="6"/>
      <c r="I72" s="8"/>
      <c r="J72" s="12"/>
      <c r="K72" s="12"/>
    </row>
    <row r="73" spans="1:14">
      <c r="A73" s="6"/>
      <c r="I73" s="8"/>
    </row>
    <row r="74" spans="1:14">
      <c r="A74" s="6"/>
      <c r="B74" s="6"/>
      <c r="C74" s="6"/>
      <c r="D74" s="6"/>
      <c r="E74" s="7"/>
      <c r="F74" s="6"/>
      <c r="G74" s="6"/>
      <c r="H74" s="8"/>
      <c r="I74" s="8"/>
      <c r="J74" s="6"/>
      <c r="K74" s="6"/>
      <c r="L74" s="9"/>
      <c r="M74" s="6"/>
      <c r="N74" s="6"/>
    </row>
    <row r="75" spans="1:14">
      <c r="A75" s="6"/>
      <c r="B75" s="6"/>
      <c r="C75" s="6"/>
      <c r="D75" s="6"/>
      <c r="E75" s="7"/>
      <c r="F75" s="6"/>
      <c r="G75" s="6"/>
      <c r="H75" s="8"/>
      <c r="I75" s="8"/>
      <c r="J75" s="6"/>
      <c r="K75" s="6"/>
      <c r="L75" s="9"/>
      <c r="M75" s="6"/>
      <c r="N75" s="6"/>
    </row>
    <row r="76" spans="1:14">
      <c r="A76" s="6"/>
      <c r="B76" s="6"/>
      <c r="C76" s="6"/>
      <c r="D76" s="6"/>
      <c r="E76" s="7"/>
      <c r="F76" s="6"/>
      <c r="G76" s="6"/>
      <c r="H76" s="8"/>
      <c r="I76" s="8"/>
      <c r="J76" s="6"/>
      <c r="K76" s="6"/>
      <c r="L76" s="9"/>
      <c r="M76" s="6"/>
      <c r="N76" s="6"/>
    </row>
    <row r="77" spans="1:14">
      <c r="A77" s="6"/>
      <c r="B77" s="6"/>
      <c r="C77" s="6"/>
      <c r="D77" s="6"/>
      <c r="E77" s="7"/>
      <c r="F77" s="6"/>
      <c r="G77" s="6"/>
      <c r="H77" s="8"/>
      <c r="I77" s="8"/>
      <c r="J77" s="6"/>
      <c r="K77" s="6"/>
      <c r="L77" s="9"/>
      <c r="M77" s="6"/>
      <c r="N77" s="6"/>
    </row>
    <row r="78" spans="1:14">
      <c r="A78" s="6"/>
      <c r="B78" s="6"/>
      <c r="C78" s="6"/>
      <c r="D78" s="6"/>
      <c r="E78" s="7"/>
      <c r="F78" s="6"/>
      <c r="G78" s="6"/>
      <c r="H78" s="8"/>
      <c r="I78" s="8"/>
      <c r="J78" s="6"/>
      <c r="K78" s="6"/>
      <c r="L78" s="9"/>
      <c r="M78" s="6"/>
      <c r="N78" s="6"/>
    </row>
    <row r="79" spans="1:14">
      <c r="A79" s="6"/>
      <c r="B79" s="6"/>
      <c r="C79" s="6"/>
      <c r="D79" s="6"/>
      <c r="E79" s="7"/>
      <c r="F79" s="6"/>
      <c r="G79" s="6"/>
      <c r="H79" s="8"/>
      <c r="I79" s="8"/>
      <c r="J79" s="6"/>
      <c r="K79" s="6"/>
      <c r="L79" s="9"/>
      <c r="M79" s="6"/>
      <c r="N79" s="6"/>
    </row>
    <row r="80" spans="1:14">
      <c r="A80" s="6"/>
      <c r="B80" s="6"/>
      <c r="C80" s="6"/>
      <c r="D80" s="6"/>
      <c r="E80" s="7"/>
      <c r="F80" s="6"/>
      <c r="G80" s="6"/>
      <c r="H80" s="8"/>
      <c r="I80" s="8"/>
      <c r="J80" s="6"/>
      <c r="K80" s="6"/>
      <c r="L80" s="9"/>
      <c r="M80" s="6"/>
      <c r="N80" s="6"/>
    </row>
    <row r="81" spans="1:14">
      <c r="A81" s="6"/>
      <c r="B81" s="6"/>
      <c r="C81" s="6"/>
      <c r="D81" s="6"/>
      <c r="E81" s="7"/>
      <c r="F81" s="6"/>
      <c r="G81" s="6"/>
      <c r="H81" s="8"/>
      <c r="I81" s="8"/>
      <c r="J81" s="6"/>
      <c r="K81" s="6"/>
      <c r="L81" s="9"/>
      <c r="M81" s="6"/>
      <c r="N81" s="6"/>
    </row>
    <row r="82" spans="1:14">
      <c r="A82" s="6"/>
      <c r="B82" s="6"/>
      <c r="C82" s="6"/>
      <c r="D82" s="6"/>
      <c r="E82" s="7"/>
      <c r="F82" s="6"/>
      <c r="G82" s="6"/>
      <c r="H82" s="8"/>
      <c r="I82" s="8"/>
      <c r="J82" s="6"/>
      <c r="K82" s="6"/>
      <c r="L82" s="9"/>
      <c r="M82" s="6"/>
      <c r="N82" s="6"/>
    </row>
    <row r="83" spans="1:14">
      <c r="A83" s="6"/>
      <c r="B83" s="6"/>
      <c r="C83" s="6"/>
      <c r="D83" s="6"/>
      <c r="E83" s="7"/>
      <c r="F83" s="6"/>
      <c r="G83" s="6"/>
      <c r="H83" s="8"/>
      <c r="I83" s="8"/>
      <c r="J83" s="6"/>
      <c r="K83" s="6"/>
      <c r="L83" s="9"/>
      <c r="M83" s="6"/>
      <c r="N83" s="6"/>
    </row>
    <row r="84" spans="1:14">
      <c r="A84" s="6"/>
      <c r="B84" s="6"/>
      <c r="C84" s="6"/>
      <c r="D84" s="6"/>
      <c r="E84" s="7"/>
      <c r="F84" s="6"/>
      <c r="G84" s="6"/>
      <c r="H84" s="8"/>
      <c r="I84" s="8"/>
      <c r="J84" s="6"/>
      <c r="K84" s="6"/>
      <c r="L84" s="9"/>
      <c r="M84" s="6"/>
      <c r="N84" s="6"/>
    </row>
    <row r="85" spans="1:14">
      <c r="A85" s="6"/>
      <c r="B85" s="6"/>
      <c r="C85" s="6"/>
      <c r="D85" s="6"/>
      <c r="E85" s="7"/>
      <c r="F85" s="6"/>
      <c r="G85" s="6"/>
      <c r="H85" s="8"/>
      <c r="I85" s="8"/>
      <c r="J85" s="6"/>
      <c r="K85" s="6"/>
      <c r="L85" s="9"/>
      <c r="M85" s="6"/>
      <c r="N85" s="6"/>
    </row>
    <row r="86" spans="1:14">
      <c r="A86" s="6"/>
      <c r="B86" s="6"/>
      <c r="C86" s="6"/>
      <c r="D86" s="6"/>
      <c r="E86" s="7"/>
      <c r="F86" s="6"/>
      <c r="G86" s="6"/>
      <c r="H86" s="8"/>
      <c r="I86" s="8"/>
      <c r="J86" s="6"/>
      <c r="K86" s="6"/>
      <c r="L86" s="9"/>
      <c r="M86" s="6"/>
      <c r="N86" s="6"/>
    </row>
    <row r="87" spans="1:14">
      <c r="A87" s="6"/>
      <c r="B87" s="6"/>
      <c r="C87" s="6"/>
      <c r="D87" s="6"/>
      <c r="E87" s="7"/>
      <c r="F87" s="6"/>
      <c r="G87" s="6"/>
      <c r="H87" s="8"/>
      <c r="I87" s="8"/>
      <c r="J87" s="6"/>
      <c r="K87" s="6"/>
      <c r="L87" s="9"/>
      <c r="M87" s="6"/>
      <c r="N87" s="6"/>
    </row>
    <row r="88" spans="1:14">
      <c r="A88" s="6"/>
      <c r="B88" s="6"/>
      <c r="C88" s="6"/>
      <c r="D88" s="6"/>
      <c r="E88" s="7"/>
      <c r="F88" s="6"/>
      <c r="G88" s="6"/>
      <c r="H88" s="8"/>
      <c r="I88" s="8"/>
      <c r="J88" s="6"/>
      <c r="K88" s="6"/>
      <c r="L88" s="9"/>
      <c r="M88" s="6"/>
      <c r="N88" s="6"/>
    </row>
    <row r="89" spans="1:14">
      <c r="A89" s="6"/>
      <c r="B89" s="6"/>
      <c r="C89" s="6"/>
      <c r="D89" s="6"/>
      <c r="E89" s="7"/>
      <c r="F89" s="6"/>
      <c r="G89" s="6"/>
      <c r="H89" s="8"/>
      <c r="I89" s="8"/>
      <c r="J89" s="6"/>
      <c r="K89" s="6"/>
      <c r="L89" s="9"/>
      <c r="M89" s="6"/>
      <c r="N89" s="6"/>
    </row>
    <row r="90" spans="1:14">
      <c r="A90" s="6"/>
      <c r="B90" s="6"/>
      <c r="C90" s="6"/>
      <c r="D90" s="6"/>
      <c r="E90" s="7"/>
      <c r="F90" s="6"/>
      <c r="G90" s="6"/>
      <c r="H90" s="8"/>
      <c r="I90" s="8"/>
      <c r="J90" s="6"/>
      <c r="K90" s="6"/>
      <c r="L90" s="9"/>
      <c r="M90" s="6"/>
      <c r="N90" s="6"/>
    </row>
    <row r="91" spans="1:14">
      <c r="A91" s="6"/>
      <c r="B91" s="6"/>
      <c r="C91" s="6"/>
      <c r="D91" s="6"/>
      <c r="E91" s="7"/>
      <c r="F91" s="6"/>
      <c r="G91" s="6"/>
      <c r="H91" s="8"/>
      <c r="I91" s="8"/>
      <c r="J91" s="6"/>
      <c r="K91" s="6"/>
      <c r="L91" s="9"/>
      <c r="M91" s="6"/>
      <c r="N91" s="6"/>
    </row>
    <row r="92" spans="1:14">
      <c r="A92" s="6"/>
      <c r="B92" s="6"/>
      <c r="C92" s="6"/>
      <c r="D92" s="6"/>
      <c r="E92" s="7"/>
      <c r="F92" s="6"/>
      <c r="G92" s="6"/>
      <c r="H92" s="8"/>
      <c r="I92" s="8"/>
      <c r="J92" s="6"/>
      <c r="K92" s="6"/>
      <c r="L92" s="9"/>
      <c r="M92" s="6"/>
      <c r="N92" s="6"/>
    </row>
    <row r="93" spans="1:14">
      <c r="A93" s="6"/>
      <c r="B93" s="6"/>
      <c r="C93" s="6"/>
      <c r="D93" s="6"/>
      <c r="E93" s="7"/>
      <c r="F93" s="6"/>
      <c r="G93" s="6"/>
      <c r="H93" s="8"/>
      <c r="I93" s="8"/>
      <c r="J93" s="6"/>
      <c r="K93" s="6"/>
      <c r="L93" s="9"/>
      <c r="M93" s="6"/>
      <c r="N93" s="6"/>
    </row>
    <row r="94" spans="1:14">
      <c r="A94" s="6"/>
      <c r="B94" s="6"/>
      <c r="C94" s="6"/>
      <c r="D94" s="6"/>
      <c r="E94" s="7"/>
      <c r="F94" s="6"/>
      <c r="G94" s="6"/>
      <c r="H94" s="8"/>
      <c r="I94" s="8"/>
      <c r="J94" s="6"/>
      <c r="K94" s="6"/>
      <c r="L94" s="9"/>
      <c r="M94" s="6"/>
      <c r="N94" s="6"/>
    </row>
    <row r="95" spans="1:14">
      <c r="A95" s="6"/>
      <c r="B95" s="6"/>
      <c r="C95" s="6"/>
      <c r="D95" s="6"/>
      <c r="E95" s="7"/>
      <c r="F95" s="6"/>
      <c r="G95" s="6"/>
      <c r="H95" s="8"/>
      <c r="I95" s="8"/>
      <c r="J95" s="6"/>
      <c r="K95" s="6"/>
      <c r="L95" s="9"/>
      <c r="M95" s="6"/>
      <c r="N95" s="6"/>
    </row>
    <row r="96" spans="1:14">
      <c r="A96" s="6"/>
      <c r="B96" s="6"/>
      <c r="C96" s="6"/>
      <c r="D96" s="6"/>
      <c r="E96" s="7"/>
      <c r="F96" s="6"/>
      <c r="G96" s="6"/>
      <c r="H96" s="8"/>
      <c r="I96" s="8"/>
      <c r="J96" s="6"/>
      <c r="K96" s="6"/>
      <c r="L96" s="9"/>
      <c r="M96" s="6"/>
      <c r="N96" s="6"/>
    </row>
    <row r="97" spans="1:14">
      <c r="A97" s="6"/>
      <c r="H97" s="8"/>
      <c r="I97" s="8"/>
      <c r="N97" s="6"/>
    </row>
    <row r="98" spans="1:14">
      <c r="A98" s="6"/>
      <c r="H98" s="8"/>
      <c r="I98" s="8"/>
      <c r="N98" s="6"/>
    </row>
    <row r="99" spans="1:14">
      <c r="A99" s="6"/>
      <c r="H99" s="8"/>
      <c r="I99" s="8"/>
      <c r="N99" s="6"/>
    </row>
    <row r="100" spans="1:14">
      <c r="A100" s="6"/>
      <c r="H100" s="8"/>
      <c r="I100" s="8"/>
      <c r="N100" s="6"/>
    </row>
    <row r="101" spans="1:14">
      <c r="A101" s="6"/>
      <c r="H101" s="8"/>
      <c r="I101" s="8"/>
      <c r="N101" s="6"/>
    </row>
    <row r="102" spans="1:14">
      <c r="A102" s="6"/>
      <c r="H102" s="8"/>
      <c r="I102" s="8"/>
      <c r="N102" s="6"/>
    </row>
    <row r="103" spans="1:14">
      <c r="A103" s="6"/>
      <c r="H103" s="8"/>
      <c r="I103" s="8"/>
      <c r="N103" s="6"/>
    </row>
    <row r="104" spans="1:14">
      <c r="A104" s="6"/>
      <c r="H104" s="8"/>
      <c r="I104" s="8"/>
      <c r="N104" s="6"/>
    </row>
    <row r="105" spans="1:14">
      <c r="A105" s="6"/>
      <c r="H105" s="8"/>
      <c r="I105" s="8"/>
      <c r="N105" s="6"/>
    </row>
    <row r="106" spans="1:14">
      <c r="A106" s="6"/>
      <c r="H106" s="8"/>
      <c r="I106" s="8"/>
      <c r="N106" s="6"/>
    </row>
    <row r="107" spans="1:14">
      <c r="A107" s="6"/>
      <c r="H107" s="8"/>
      <c r="I107" s="8"/>
      <c r="N107" s="6"/>
    </row>
    <row r="108" spans="1:14">
      <c r="A108" s="6"/>
      <c r="H108" s="8"/>
      <c r="I108" s="8"/>
      <c r="N108" s="6"/>
    </row>
    <row r="109" spans="1:14">
      <c r="A109" s="6"/>
      <c r="H109" s="8"/>
      <c r="I109" s="8"/>
      <c r="N109" s="6"/>
    </row>
    <row r="110" spans="1:14">
      <c r="A110" s="6"/>
      <c r="H110" s="8"/>
      <c r="I110" s="8"/>
      <c r="N110" s="6"/>
    </row>
    <row r="111" spans="1:14">
      <c r="A111" s="6"/>
      <c r="H111" s="8"/>
      <c r="I111" s="8"/>
      <c r="N111" s="6"/>
    </row>
    <row r="112" spans="1:14">
      <c r="A112" s="6"/>
      <c r="H112" s="8"/>
      <c r="I112" s="8"/>
      <c r="N112" s="6"/>
    </row>
    <row r="113" spans="1:14">
      <c r="A113" s="6"/>
      <c r="H113" s="8"/>
      <c r="I113" s="8"/>
      <c r="N113" s="6"/>
    </row>
    <row r="114" spans="1:14">
      <c r="A114" s="6"/>
      <c r="H114" s="8"/>
      <c r="I114" s="8"/>
      <c r="N114" s="6"/>
    </row>
    <row r="115" spans="1:14">
      <c r="A115" s="6"/>
      <c r="H115" s="8"/>
      <c r="I115" s="8"/>
      <c r="N115" s="6"/>
    </row>
    <row r="116" spans="1:14">
      <c r="A116" s="6"/>
      <c r="H116" s="8"/>
      <c r="I116" s="8"/>
      <c r="N116" s="6"/>
    </row>
    <row r="117" spans="1:14">
      <c r="A117" s="6"/>
      <c r="H117" s="8"/>
      <c r="I117" s="8"/>
      <c r="N117" s="6"/>
    </row>
    <row r="118" spans="1:14">
      <c r="A118" s="6"/>
      <c r="H118" s="8"/>
      <c r="I118" s="8"/>
      <c r="N118" s="6"/>
    </row>
    <row r="119" spans="1:14">
      <c r="A119" s="6"/>
      <c r="H119" s="8"/>
      <c r="I119" s="8"/>
      <c r="N119" s="6"/>
    </row>
    <row r="120" spans="1:14">
      <c r="A120" s="6"/>
      <c r="H120" s="8"/>
      <c r="I120" s="8"/>
      <c r="N120" s="6"/>
    </row>
    <row r="121" spans="1:14">
      <c r="A121" s="6"/>
      <c r="H121" s="8"/>
      <c r="I121" s="8"/>
      <c r="N121" s="6"/>
    </row>
    <row r="122" spans="1:14">
      <c r="A122" s="6"/>
      <c r="H122" s="8"/>
      <c r="I122" s="8"/>
      <c r="N122" s="6"/>
    </row>
    <row r="123" spans="1:14">
      <c r="A123" s="6"/>
      <c r="H123" s="8"/>
      <c r="I123" s="8"/>
      <c r="N123" s="6"/>
    </row>
    <row r="124" spans="1:14">
      <c r="A124" s="6"/>
      <c r="H124" s="8"/>
      <c r="I124" s="8"/>
      <c r="N124" s="6"/>
    </row>
    <row r="125" spans="1:14">
      <c r="A125" s="6"/>
      <c r="H125" s="8"/>
      <c r="I125" s="8"/>
      <c r="N125" s="6"/>
    </row>
    <row r="126" spans="1:14">
      <c r="A126" s="6"/>
      <c r="H126" s="8"/>
      <c r="I126" s="8"/>
      <c r="N126" s="6"/>
    </row>
    <row r="127" spans="1:14">
      <c r="A127" s="6"/>
      <c r="H127" s="8"/>
      <c r="I127" s="8"/>
      <c r="N127" s="6"/>
    </row>
    <row r="128" spans="1:14">
      <c r="A128" s="6"/>
      <c r="H128" s="8"/>
      <c r="I128" s="8"/>
      <c r="N128" s="6"/>
    </row>
    <row r="129" spans="1:14">
      <c r="A129" s="6"/>
      <c r="H129" s="8"/>
      <c r="I129" s="8"/>
      <c r="N129" s="6"/>
    </row>
    <row r="130" spans="1:14">
      <c r="A130" s="6"/>
      <c r="H130" s="8"/>
      <c r="I130" s="8"/>
      <c r="N130" s="6"/>
    </row>
    <row r="131" spans="1:14">
      <c r="A131" s="6"/>
      <c r="H131" s="8"/>
      <c r="I131" s="8"/>
      <c r="N131" s="6"/>
    </row>
    <row r="132" spans="1:14" ht="63.75" customHeight="1">
      <c r="A132" s="6"/>
      <c r="H132" s="8"/>
      <c r="I132" s="8"/>
      <c r="N132" s="6"/>
    </row>
    <row r="133" spans="1:14">
      <c r="A133" s="6"/>
      <c r="H133" s="8"/>
      <c r="I133" s="8"/>
      <c r="N133" s="6"/>
    </row>
    <row r="134" spans="1:14">
      <c r="A134" s="6"/>
      <c r="H134" s="8"/>
      <c r="I134" s="8"/>
      <c r="N134" s="6"/>
    </row>
    <row r="135" spans="1:14">
      <c r="A135" s="6"/>
      <c r="H135" s="8"/>
      <c r="I135" s="8"/>
      <c r="N135" s="6"/>
    </row>
    <row r="136" spans="1:14">
      <c r="A136" s="6"/>
      <c r="H136" s="8"/>
      <c r="I136" s="8"/>
      <c r="N136" s="6"/>
    </row>
    <row r="137" spans="1:14">
      <c r="A137" s="6"/>
      <c r="H137" s="8"/>
      <c r="I137" s="8"/>
      <c r="N137" s="6"/>
    </row>
    <row r="138" spans="1:14">
      <c r="A138" s="6"/>
      <c r="H138" s="8"/>
      <c r="I138" s="8"/>
      <c r="N138" s="6"/>
    </row>
    <row r="139" spans="1:14">
      <c r="A139" s="6"/>
      <c r="H139" s="8"/>
      <c r="I139" s="8"/>
      <c r="N139" s="6"/>
    </row>
    <row r="140" spans="1:14">
      <c r="A140" s="6"/>
      <c r="H140" s="8"/>
      <c r="I140" s="8"/>
      <c r="N140" s="6"/>
    </row>
    <row r="141" spans="1:14">
      <c r="A141" s="6"/>
      <c r="H141" s="8"/>
      <c r="I141" s="8"/>
      <c r="N141" s="6"/>
    </row>
    <row r="142" spans="1:14">
      <c r="A142" s="6"/>
      <c r="H142" s="8"/>
      <c r="I142" s="8"/>
      <c r="N142" s="6"/>
    </row>
    <row r="143" spans="1:14">
      <c r="A143" s="6"/>
      <c r="H143" s="8"/>
      <c r="I143" s="8"/>
      <c r="N143" s="6"/>
    </row>
    <row r="144" spans="1:14">
      <c r="A144" s="6"/>
      <c r="H144" s="8"/>
      <c r="I144" s="8"/>
      <c r="N144" s="6"/>
    </row>
    <row r="145" spans="1:14">
      <c r="A145" s="6"/>
      <c r="H145" s="8"/>
      <c r="I145" s="8"/>
      <c r="N145" s="6"/>
    </row>
    <row r="146" spans="1:14">
      <c r="A146" s="6"/>
      <c r="H146" s="8"/>
      <c r="I146" s="8"/>
      <c r="N146" s="6"/>
    </row>
    <row r="147" spans="1:14">
      <c r="A147" s="6"/>
      <c r="H147" s="8"/>
      <c r="I147" s="8"/>
      <c r="N147" s="6"/>
    </row>
    <row r="148" spans="1:14">
      <c r="A148" s="6"/>
      <c r="H148" s="8"/>
      <c r="I148" s="8"/>
      <c r="N148" s="6"/>
    </row>
    <row r="149" spans="1:14">
      <c r="A149" s="6"/>
      <c r="H149" s="8"/>
      <c r="I149" s="8"/>
      <c r="N149" s="6"/>
    </row>
    <row r="150" spans="1:14">
      <c r="A150" s="6"/>
      <c r="H150" s="8"/>
      <c r="I150" s="8"/>
      <c r="N150" s="6"/>
    </row>
    <row r="151" spans="1:14">
      <c r="A151" s="6"/>
      <c r="H151" s="8"/>
      <c r="I151" s="8"/>
      <c r="N151" s="6"/>
    </row>
    <row r="152" spans="1:14">
      <c r="A152" s="6"/>
      <c r="N152" s="6"/>
    </row>
    <row r="153" spans="1:14">
      <c r="A153" s="6"/>
      <c r="N153" s="6"/>
    </row>
    <row r="154" spans="1:14">
      <c r="A154" s="6"/>
      <c r="N154" s="6"/>
    </row>
    <row r="155" spans="1:14">
      <c r="A155" s="6"/>
      <c r="N155" s="6"/>
    </row>
    <row r="156" spans="1:14">
      <c r="A156" s="6"/>
      <c r="N156" s="6"/>
    </row>
    <row r="157" spans="1:14">
      <c r="A157" s="6"/>
      <c r="N157" s="6"/>
    </row>
    <row r="158" spans="1:14">
      <c r="A158" s="6"/>
      <c r="N158" s="6"/>
    </row>
    <row r="159" spans="1:14">
      <c r="A159" s="6"/>
      <c r="N159" s="6"/>
    </row>
    <row r="160" spans="1:14">
      <c r="A160" s="6"/>
      <c r="N160" s="6"/>
    </row>
    <row r="161" spans="1:14">
      <c r="A161" s="6"/>
      <c r="N161" s="6"/>
    </row>
    <row r="174" spans="1:14" ht="63.75" customHeight="1"/>
    <row r="176" spans="1:14" ht="60" customHeight="1"/>
    <row r="177" ht="61.5" customHeight="1"/>
    <row r="198" spans="15:15" ht="75" customHeight="1">
      <c r="O198" s="10"/>
    </row>
    <row r="199" spans="15:15" ht="84.75" customHeight="1"/>
    <row r="200" spans="15:15" ht="45" customHeight="1"/>
  </sheetData>
  <autoFilter ref="A1:N69" xr:uid="{00000000-0009-0000-0000-000000000000}">
    <sortState xmlns:xlrd2="http://schemas.microsoft.com/office/spreadsheetml/2017/richdata2" ref="A2:N69">
      <sortCondition ref="A1:A69"/>
    </sortState>
  </autoFilter>
  <pageMargins left="0.23622047244094491" right="0.23622047244094491" top="0.55118110236220474" bottom="0.74803149606299213" header="0.31496062992125984" footer="0.31496062992125984"/>
  <pageSetup paperSize="9" scale="56" fitToHeight="0" orientation="landscape" horizontalDpi="0" verticalDpi="0" r:id="rId1"/>
  <headerFooter>
    <oddFooter>&amp;CPágina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8"/>
  <sheetViews>
    <sheetView workbookViewId="0">
      <selection activeCell="I1" sqref="I1"/>
    </sheetView>
  </sheetViews>
  <sheetFormatPr defaultRowHeight="15"/>
  <cols>
    <col min="2" max="2" width="27" customWidth="1"/>
    <col min="7" max="7" width="17.28515625" customWidth="1"/>
    <col min="8" max="8" width="14.7109375" bestFit="1" customWidth="1"/>
    <col min="9" max="9" width="17" customWidth="1"/>
    <col min="11" max="11" width="14.5703125" customWidth="1"/>
    <col min="12" max="12" width="18.5703125" customWidth="1"/>
    <col min="13" max="13" width="23.140625" customWidth="1"/>
    <col min="14" max="14" width="14.28515625" customWidth="1"/>
  </cols>
  <sheetData>
    <row r="1" spans="1:14" ht="38.25">
      <c r="A1" s="20" t="s">
        <v>0</v>
      </c>
      <c r="B1" s="20" t="s">
        <v>409</v>
      </c>
      <c r="C1" s="20" t="s">
        <v>410</v>
      </c>
      <c r="D1" s="20" t="s">
        <v>1</v>
      </c>
      <c r="E1" s="21" t="s">
        <v>411</v>
      </c>
      <c r="F1" s="20" t="s">
        <v>8</v>
      </c>
      <c r="G1" s="20" t="s">
        <v>412</v>
      </c>
      <c r="H1" s="20" t="s">
        <v>3</v>
      </c>
      <c r="I1" s="20" t="s">
        <v>4</v>
      </c>
      <c r="J1" s="20" t="s">
        <v>5</v>
      </c>
      <c r="K1" s="20" t="s">
        <v>413</v>
      </c>
      <c r="L1" s="20" t="s">
        <v>7</v>
      </c>
      <c r="M1" s="20" t="s">
        <v>12</v>
      </c>
      <c r="N1" s="20" t="s">
        <v>14</v>
      </c>
    </row>
    <row r="2" spans="1:14" ht="25.5">
      <c r="A2" s="22">
        <v>1</v>
      </c>
      <c r="B2" s="22" t="s">
        <v>414</v>
      </c>
      <c r="C2" s="22" t="s">
        <v>172</v>
      </c>
      <c r="D2" s="22" t="s">
        <v>17</v>
      </c>
      <c r="E2" s="23">
        <v>1729</v>
      </c>
      <c r="F2" s="22" t="s">
        <v>33</v>
      </c>
      <c r="G2" s="22" t="s">
        <v>414</v>
      </c>
      <c r="H2" s="24">
        <v>5000000</v>
      </c>
      <c r="I2" s="22" t="s">
        <v>20</v>
      </c>
      <c r="J2" s="22" t="s">
        <v>415</v>
      </c>
      <c r="K2" s="25">
        <v>45444</v>
      </c>
      <c r="L2" s="22" t="s">
        <v>416</v>
      </c>
      <c r="M2" s="22" t="s">
        <v>417</v>
      </c>
      <c r="N2" s="22" t="s">
        <v>262</v>
      </c>
    </row>
    <row r="3" spans="1:14" ht="25.5">
      <c r="A3" s="22">
        <v>2</v>
      </c>
      <c r="B3" s="22" t="s">
        <v>418</v>
      </c>
      <c r="C3" s="22" t="s">
        <v>172</v>
      </c>
      <c r="D3" s="22" t="s">
        <v>17</v>
      </c>
      <c r="E3" s="23">
        <v>184</v>
      </c>
      <c r="F3" s="22" t="s">
        <v>33</v>
      </c>
      <c r="G3" s="22" t="s">
        <v>419</v>
      </c>
      <c r="H3" s="26">
        <v>100000</v>
      </c>
      <c r="I3" s="22" t="s">
        <v>420</v>
      </c>
      <c r="J3" s="22" t="s">
        <v>421</v>
      </c>
      <c r="K3" s="25">
        <v>45352</v>
      </c>
      <c r="L3" s="22" t="s">
        <v>422</v>
      </c>
      <c r="M3" s="22" t="s">
        <v>417</v>
      </c>
      <c r="N3" s="22" t="s">
        <v>262</v>
      </c>
    </row>
    <row r="4" spans="1:14" ht="25.5">
      <c r="A4" s="22">
        <v>3</v>
      </c>
      <c r="B4" s="22" t="s">
        <v>423</v>
      </c>
      <c r="C4" s="22" t="s">
        <v>34</v>
      </c>
      <c r="D4" s="22" t="s">
        <v>17</v>
      </c>
      <c r="E4" s="23">
        <v>5</v>
      </c>
      <c r="F4" s="22" t="s">
        <v>33</v>
      </c>
      <c r="G4" s="22" t="s">
        <v>424</v>
      </c>
      <c r="H4" s="26">
        <v>500000</v>
      </c>
      <c r="I4" s="22" t="s">
        <v>20</v>
      </c>
      <c r="J4" s="22" t="s">
        <v>415</v>
      </c>
      <c r="K4" s="25">
        <v>45323</v>
      </c>
      <c r="L4" s="22" t="s">
        <v>425</v>
      </c>
      <c r="M4" s="22" t="s">
        <v>417</v>
      </c>
      <c r="N4" s="22" t="s">
        <v>262</v>
      </c>
    </row>
    <row r="5" spans="1:14" ht="25.5">
      <c r="A5" s="22">
        <v>4</v>
      </c>
      <c r="B5" s="22" t="s">
        <v>426</v>
      </c>
      <c r="C5" s="22" t="s">
        <v>34</v>
      </c>
      <c r="D5" s="22" t="s">
        <v>17</v>
      </c>
      <c r="E5" s="23">
        <v>3</v>
      </c>
      <c r="F5" s="22" t="s">
        <v>22</v>
      </c>
      <c r="G5" s="22" t="s">
        <v>424</v>
      </c>
      <c r="H5" s="26">
        <v>2370000</v>
      </c>
      <c r="I5" s="22" t="s">
        <v>20</v>
      </c>
      <c r="J5" s="22" t="s">
        <v>415</v>
      </c>
      <c r="K5" s="25">
        <v>45444</v>
      </c>
      <c r="L5" s="22" t="s">
        <v>427</v>
      </c>
      <c r="M5" s="22" t="s">
        <v>417</v>
      </c>
      <c r="N5" s="22" t="s">
        <v>262</v>
      </c>
    </row>
    <row r="6" spans="1:14" ht="25.5">
      <c r="A6" s="22">
        <v>5</v>
      </c>
      <c r="B6" s="22" t="s">
        <v>428</v>
      </c>
      <c r="C6" s="22" t="s">
        <v>34</v>
      </c>
      <c r="D6" s="22" t="s">
        <v>17</v>
      </c>
      <c r="E6" s="23">
        <v>36</v>
      </c>
      <c r="F6" s="22" t="s">
        <v>33</v>
      </c>
      <c r="G6" s="22" t="s">
        <v>424</v>
      </c>
      <c r="H6" s="26">
        <v>2900185</v>
      </c>
      <c r="I6" s="22" t="s">
        <v>20</v>
      </c>
      <c r="J6" s="22" t="s">
        <v>415</v>
      </c>
      <c r="K6" s="25">
        <v>45575</v>
      </c>
      <c r="L6" s="22" t="s">
        <v>429</v>
      </c>
      <c r="M6" s="22" t="s">
        <v>417</v>
      </c>
      <c r="N6" s="22" t="s">
        <v>262</v>
      </c>
    </row>
    <row r="7" spans="1:14" ht="25.5">
      <c r="A7" s="22">
        <v>6</v>
      </c>
      <c r="B7" s="22" t="s">
        <v>430</v>
      </c>
      <c r="C7" s="22" t="s">
        <v>34</v>
      </c>
      <c r="D7" s="22" t="s">
        <v>17</v>
      </c>
      <c r="E7" s="23">
        <v>92</v>
      </c>
      <c r="F7" s="22" t="s">
        <v>33</v>
      </c>
      <c r="G7" s="22" t="s">
        <v>424</v>
      </c>
      <c r="H7" s="26">
        <v>100000</v>
      </c>
      <c r="I7" s="22" t="s">
        <v>20</v>
      </c>
      <c r="J7" s="22" t="s">
        <v>415</v>
      </c>
      <c r="K7" s="25">
        <v>45627</v>
      </c>
      <c r="L7" s="22" t="s">
        <v>431</v>
      </c>
      <c r="M7" s="22" t="s">
        <v>417</v>
      </c>
      <c r="N7" s="22" t="s">
        <v>262</v>
      </c>
    </row>
    <row r="8" spans="1:14" ht="25.5">
      <c r="A8" s="22">
        <v>7</v>
      </c>
      <c r="B8" s="22" t="s">
        <v>432</v>
      </c>
      <c r="C8" s="22" t="s">
        <v>34</v>
      </c>
      <c r="D8" s="22" t="s">
        <v>17</v>
      </c>
      <c r="E8" s="23">
        <v>2</v>
      </c>
      <c r="F8" s="22" t="s">
        <v>33</v>
      </c>
      <c r="G8" s="22" t="s">
        <v>424</v>
      </c>
      <c r="H8" s="26">
        <v>10605.6</v>
      </c>
      <c r="I8" s="22" t="s">
        <v>20</v>
      </c>
      <c r="J8" s="22" t="s">
        <v>415</v>
      </c>
      <c r="K8" s="25">
        <v>45627</v>
      </c>
      <c r="L8" s="22" t="s">
        <v>433</v>
      </c>
      <c r="M8" s="22" t="s">
        <v>417</v>
      </c>
      <c r="N8" s="22" t="s">
        <v>262</v>
      </c>
    </row>
    <row r="9" spans="1:14" ht="25.5">
      <c r="A9" s="22">
        <v>8</v>
      </c>
      <c r="B9" s="22" t="s">
        <v>434</v>
      </c>
      <c r="C9" s="22" t="s">
        <v>34</v>
      </c>
      <c r="D9" s="22" t="s">
        <v>17</v>
      </c>
      <c r="E9" s="23">
        <v>250</v>
      </c>
      <c r="F9" s="22" t="s">
        <v>435</v>
      </c>
      <c r="G9" s="22" t="s">
        <v>424</v>
      </c>
      <c r="H9" s="22" t="s">
        <v>436</v>
      </c>
      <c r="I9" s="22" t="s">
        <v>20</v>
      </c>
      <c r="J9" s="22" t="s">
        <v>415</v>
      </c>
      <c r="K9" s="25">
        <v>45627</v>
      </c>
      <c r="L9" s="22" t="s">
        <v>437</v>
      </c>
      <c r="M9" s="22" t="s">
        <v>417</v>
      </c>
      <c r="N9" s="22" t="s">
        <v>262</v>
      </c>
    </row>
    <row r="10" spans="1:14" ht="25.5">
      <c r="A10" s="22">
        <v>9</v>
      </c>
      <c r="B10" s="22" t="s">
        <v>438</v>
      </c>
      <c r="C10" s="22" t="s">
        <v>34</v>
      </c>
      <c r="D10" s="22" t="s">
        <v>17</v>
      </c>
      <c r="E10" s="23">
        <v>11</v>
      </c>
      <c r="F10" s="22" t="s">
        <v>33</v>
      </c>
      <c r="G10" s="22" t="s">
        <v>439</v>
      </c>
      <c r="H10" s="26">
        <v>105398</v>
      </c>
      <c r="I10" s="22" t="s">
        <v>20</v>
      </c>
      <c r="J10" s="22" t="s">
        <v>415</v>
      </c>
      <c r="K10" s="25">
        <v>45292</v>
      </c>
      <c r="L10" s="22" t="s">
        <v>440</v>
      </c>
      <c r="M10" s="22" t="s">
        <v>417</v>
      </c>
      <c r="N10" s="22" t="s">
        <v>262</v>
      </c>
    </row>
    <row r="11" spans="1:14" ht="25.5">
      <c r="A11" s="22">
        <v>10</v>
      </c>
      <c r="B11" s="22" t="s">
        <v>441</v>
      </c>
      <c r="C11" s="22" t="s">
        <v>241</v>
      </c>
      <c r="D11" s="22" t="s">
        <v>17</v>
      </c>
      <c r="E11" s="23">
        <v>15</v>
      </c>
      <c r="F11" s="22" t="s">
        <v>33</v>
      </c>
      <c r="G11" s="22" t="s">
        <v>442</v>
      </c>
      <c r="H11" s="26">
        <v>645247</v>
      </c>
      <c r="I11" s="22" t="s">
        <v>20</v>
      </c>
      <c r="J11" s="22" t="s">
        <v>415</v>
      </c>
      <c r="K11" s="25">
        <v>45413</v>
      </c>
      <c r="L11" s="22" t="s">
        <v>443</v>
      </c>
      <c r="M11" s="22" t="s">
        <v>417</v>
      </c>
      <c r="N11" s="22" t="s">
        <v>262</v>
      </c>
    </row>
    <row r="12" spans="1:14" ht="51">
      <c r="A12" s="22">
        <v>11</v>
      </c>
      <c r="B12" s="22" t="s">
        <v>444</v>
      </c>
      <c r="C12" s="22" t="s">
        <v>241</v>
      </c>
      <c r="D12" s="22" t="s">
        <v>17</v>
      </c>
      <c r="E12" s="23">
        <v>27</v>
      </c>
      <c r="F12" s="22" t="s">
        <v>124</v>
      </c>
      <c r="G12" s="22" t="s">
        <v>445</v>
      </c>
      <c r="H12" s="26">
        <v>664713</v>
      </c>
      <c r="I12" s="22" t="s">
        <v>20</v>
      </c>
      <c r="J12" s="22" t="s">
        <v>415</v>
      </c>
      <c r="K12" s="25">
        <v>45474</v>
      </c>
      <c r="L12" s="22" t="s">
        <v>446</v>
      </c>
      <c r="M12" s="22" t="s">
        <v>417</v>
      </c>
      <c r="N12" s="22" t="s">
        <v>262</v>
      </c>
    </row>
    <row r="13" spans="1:14" ht="51">
      <c r="A13" s="22">
        <v>12</v>
      </c>
      <c r="B13" s="22" t="s">
        <v>447</v>
      </c>
      <c r="C13" s="22" t="s">
        <v>34</v>
      </c>
      <c r="D13" s="22" t="s">
        <v>17</v>
      </c>
      <c r="E13" s="23">
        <v>4</v>
      </c>
      <c r="F13" s="22" t="s">
        <v>33</v>
      </c>
      <c r="G13" s="22" t="s">
        <v>448</v>
      </c>
      <c r="H13" s="26">
        <v>1000000</v>
      </c>
      <c r="I13" s="22" t="s">
        <v>20</v>
      </c>
      <c r="J13" s="22" t="s">
        <v>415</v>
      </c>
      <c r="K13" s="25">
        <v>45292</v>
      </c>
      <c r="L13" s="22" t="s">
        <v>449</v>
      </c>
      <c r="M13" s="22" t="s">
        <v>417</v>
      </c>
      <c r="N13" s="22" t="s">
        <v>262</v>
      </c>
    </row>
    <row r="14" spans="1:14" ht="178.5">
      <c r="A14" s="22">
        <v>13</v>
      </c>
      <c r="B14" s="22" t="s">
        <v>450</v>
      </c>
      <c r="C14" s="22" t="s">
        <v>241</v>
      </c>
      <c r="D14" s="22" t="s">
        <v>17</v>
      </c>
      <c r="E14" s="23">
        <v>7</v>
      </c>
      <c r="F14" s="22" t="s">
        <v>124</v>
      </c>
      <c r="G14" s="22" t="s">
        <v>451</v>
      </c>
      <c r="H14" s="26">
        <v>1932130</v>
      </c>
      <c r="I14" s="22" t="s">
        <v>20</v>
      </c>
      <c r="J14" s="22" t="s">
        <v>415</v>
      </c>
      <c r="K14" s="25">
        <v>45292</v>
      </c>
      <c r="L14" s="22" t="s">
        <v>452</v>
      </c>
      <c r="M14" s="22" t="s">
        <v>417</v>
      </c>
      <c r="N14" s="22" t="s">
        <v>262</v>
      </c>
    </row>
    <row r="15" spans="1:14" ht="102">
      <c r="A15" s="22">
        <v>14</v>
      </c>
      <c r="B15" s="22" t="s">
        <v>450</v>
      </c>
      <c r="C15" s="22" t="s">
        <v>241</v>
      </c>
      <c r="D15" s="22" t="s">
        <v>17</v>
      </c>
      <c r="E15" s="23">
        <v>1</v>
      </c>
      <c r="F15" s="22" t="s">
        <v>124</v>
      </c>
      <c r="G15" s="22" t="s">
        <v>453</v>
      </c>
      <c r="H15" s="26">
        <v>348335</v>
      </c>
      <c r="I15" s="22" t="s">
        <v>20</v>
      </c>
      <c r="J15" s="22" t="s">
        <v>415</v>
      </c>
      <c r="K15" s="25">
        <v>45292</v>
      </c>
      <c r="L15" s="22" t="s">
        <v>454</v>
      </c>
      <c r="M15" s="22" t="s">
        <v>417</v>
      </c>
      <c r="N15" s="22" t="s">
        <v>262</v>
      </c>
    </row>
    <row r="16" spans="1:14" ht="51">
      <c r="A16" s="22">
        <v>15</v>
      </c>
      <c r="B16" s="22" t="s">
        <v>455</v>
      </c>
      <c r="C16" s="22" t="s">
        <v>34</v>
      </c>
      <c r="D16" s="22" t="s">
        <v>17</v>
      </c>
      <c r="E16" s="23">
        <v>57</v>
      </c>
      <c r="F16" s="22" t="s">
        <v>33</v>
      </c>
      <c r="G16" s="22" t="s">
        <v>456</v>
      </c>
      <c r="H16" s="26">
        <v>90607</v>
      </c>
      <c r="I16" s="22" t="s">
        <v>20</v>
      </c>
      <c r="J16" s="22" t="s">
        <v>415</v>
      </c>
      <c r="K16" s="25">
        <v>45292</v>
      </c>
      <c r="L16" s="22" t="s">
        <v>457</v>
      </c>
      <c r="M16" s="22" t="s">
        <v>417</v>
      </c>
      <c r="N16" s="22" t="s">
        <v>262</v>
      </c>
    </row>
    <row r="17" spans="1:14" ht="25.5">
      <c r="A17" s="22">
        <v>16</v>
      </c>
      <c r="B17" s="22" t="s">
        <v>458</v>
      </c>
      <c r="C17" s="22" t="s">
        <v>34</v>
      </c>
      <c r="D17" s="22" t="s">
        <v>17</v>
      </c>
      <c r="E17" s="23">
        <v>109</v>
      </c>
      <c r="F17" s="22" t="s">
        <v>33</v>
      </c>
      <c r="G17" s="22" t="s">
        <v>459</v>
      </c>
      <c r="H17" s="26">
        <v>191162.51</v>
      </c>
      <c r="I17" s="22" t="s">
        <v>20</v>
      </c>
      <c r="J17" s="22" t="s">
        <v>415</v>
      </c>
      <c r="K17" s="25">
        <v>45474</v>
      </c>
      <c r="L17" s="22" t="s">
        <v>460</v>
      </c>
      <c r="M17" s="22" t="s">
        <v>417</v>
      </c>
      <c r="N17" s="22" t="s">
        <v>262</v>
      </c>
    </row>
    <row r="18" spans="1:14" ht="25.5">
      <c r="A18" s="22">
        <v>17</v>
      </c>
      <c r="B18" s="22" t="s">
        <v>461</v>
      </c>
      <c r="C18" s="22" t="s">
        <v>34</v>
      </c>
      <c r="D18" s="22" t="s">
        <v>17</v>
      </c>
      <c r="E18" s="23">
        <v>15</v>
      </c>
      <c r="F18" s="22" t="s">
        <v>33</v>
      </c>
      <c r="G18" s="22" t="s">
        <v>462</v>
      </c>
      <c r="H18" s="26">
        <v>69555.320000000007</v>
      </c>
      <c r="I18" s="22" t="s">
        <v>20</v>
      </c>
      <c r="J18" s="22" t="s">
        <v>415</v>
      </c>
      <c r="K18" s="25">
        <v>45292</v>
      </c>
      <c r="L18" s="22" t="s">
        <v>463</v>
      </c>
      <c r="M18" s="22" t="s">
        <v>417</v>
      </c>
      <c r="N18" s="22" t="s">
        <v>262</v>
      </c>
    </row>
    <row r="19" spans="1:14" ht="25.5">
      <c r="A19" s="22">
        <v>18</v>
      </c>
      <c r="B19" s="22" t="s">
        <v>464</v>
      </c>
      <c r="C19" s="22" t="s">
        <v>241</v>
      </c>
      <c r="D19" s="22" t="s">
        <v>17</v>
      </c>
      <c r="E19" s="23">
        <v>12</v>
      </c>
      <c r="F19" s="22" t="s">
        <v>33</v>
      </c>
      <c r="G19" s="22" t="s">
        <v>465</v>
      </c>
      <c r="H19" s="26">
        <v>3354.6</v>
      </c>
      <c r="I19" s="22" t="s">
        <v>20</v>
      </c>
      <c r="J19" s="22" t="s">
        <v>415</v>
      </c>
      <c r="K19" s="25">
        <v>45505</v>
      </c>
      <c r="L19" s="22" t="s">
        <v>466</v>
      </c>
      <c r="M19" s="22" t="s">
        <v>417</v>
      </c>
      <c r="N19" s="22" t="s">
        <v>262</v>
      </c>
    </row>
    <row r="20" spans="1:14" ht="25.5">
      <c r="A20" s="22">
        <v>19</v>
      </c>
      <c r="B20" s="22" t="s">
        <v>467</v>
      </c>
      <c r="C20" s="22" t="s">
        <v>241</v>
      </c>
      <c r="D20" s="22" t="s">
        <v>17</v>
      </c>
      <c r="E20" s="23">
        <v>12</v>
      </c>
      <c r="F20" s="22" t="s">
        <v>18</v>
      </c>
      <c r="G20" s="22" t="s">
        <v>468</v>
      </c>
      <c r="H20" s="26">
        <v>25000</v>
      </c>
      <c r="I20" s="22" t="s">
        <v>20</v>
      </c>
      <c r="J20" s="22" t="s">
        <v>415</v>
      </c>
      <c r="K20" s="25">
        <v>45597</v>
      </c>
      <c r="L20" s="22" t="s">
        <v>469</v>
      </c>
      <c r="M20" s="22" t="s">
        <v>417</v>
      </c>
      <c r="N20" s="22" t="s">
        <v>262</v>
      </c>
    </row>
    <row r="21" spans="1:14" ht="25.5">
      <c r="A21" s="22">
        <v>20</v>
      </c>
      <c r="B21" s="22" t="s">
        <v>239</v>
      </c>
      <c r="C21" s="22" t="s">
        <v>34</v>
      </c>
      <c r="D21" s="22" t="s">
        <v>17</v>
      </c>
      <c r="E21" s="23">
        <v>3</v>
      </c>
      <c r="F21" s="22" t="s">
        <v>18</v>
      </c>
      <c r="G21" s="22" t="s">
        <v>470</v>
      </c>
      <c r="H21" s="26">
        <v>10000</v>
      </c>
      <c r="I21" s="22" t="s">
        <v>20</v>
      </c>
      <c r="J21" s="22" t="s">
        <v>415</v>
      </c>
      <c r="K21" s="25">
        <v>45323</v>
      </c>
      <c r="L21" s="22" t="s">
        <v>38</v>
      </c>
      <c r="M21" s="22" t="s">
        <v>417</v>
      </c>
      <c r="N21" s="22" t="s">
        <v>262</v>
      </c>
    </row>
    <row r="22" spans="1:14" ht="25.5">
      <c r="A22" s="22">
        <v>21</v>
      </c>
      <c r="B22" s="22" t="s">
        <v>471</v>
      </c>
      <c r="C22" s="22" t="s">
        <v>34</v>
      </c>
      <c r="D22" s="22" t="s">
        <v>17</v>
      </c>
      <c r="E22" s="23">
        <v>30</v>
      </c>
      <c r="F22" s="22" t="s">
        <v>33</v>
      </c>
      <c r="G22" s="22" t="s">
        <v>472</v>
      </c>
      <c r="H22" s="26">
        <v>301463.61</v>
      </c>
      <c r="I22" s="22" t="s">
        <v>20</v>
      </c>
      <c r="J22" s="22" t="s">
        <v>415</v>
      </c>
      <c r="K22" s="25">
        <v>45413</v>
      </c>
      <c r="L22" s="22" t="s">
        <v>433</v>
      </c>
      <c r="M22" s="22" t="s">
        <v>417</v>
      </c>
      <c r="N22" s="22" t="s">
        <v>262</v>
      </c>
    </row>
    <row r="23" spans="1:14" ht="25.5">
      <c r="A23" s="22">
        <v>22</v>
      </c>
      <c r="B23" s="22" t="s">
        <v>473</v>
      </c>
      <c r="C23" s="22" t="s">
        <v>34</v>
      </c>
      <c r="D23" s="22" t="s">
        <v>17</v>
      </c>
      <c r="E23" s="23">
        <v>100</v>
      </c>
      <c r="F23" s="22" t="s">
        <v>33</v>
      </c>
      <c r="G23" s="22" t="s">
        <v>474</v>
      </c>
      <c r="H23" s="27">
        <v>100000</v>
      </c>
      <c r="I23" s="22" t="s">
        <v>20</v>
      </c>
      <c r="J23" s="22" t="s">
        <v>415</v>
      </c>
      <c r="K23" s="25">
        <v>45323</v>
      </c>
      <c r="L23" s="22" t="s">
        <v>38</v>
      </c>
      <c r="M23" s="22" t="s">
        <v>417</v>
      </c>
      <c r="N23" s="22" t="s">
        <v>262</v>
      </c>
    </row>
    <row r="24" spans="1:14" ht="51">
      <c r="A24" s="22">
        <v>23</v>
      </c>
      <c r="B24" s="22" t="s">
        <v>30</v>
      </c>
      <c r="C24" s="22" t="s">
        <v>26</v>
      </c>
      <c r="D24" s="22" t="s">
        <v>17</v>
      </c>
      <c r="E24" s="23">
        <v>4800</v>
      </c>
      <c r="F24" s="22" t="s">
        <v>32</v>
      </c>
      <c r="G24" s="22" t="s">
        <v>250</v>
      </c>
      <c r="H24" s="28">
        <v>5738.69</v>
      </c>
      <c r="I24" s="22" t="s">
        <v>20</v>
      </c>
      <c r="J24" s="22" t="s">
        <v>415</v>
      </c>
      <c r="K24" s="25">
        <v>45481</v>
      </c>
      <c r="L24" s="22" t="s">
        <v>475</v>
      </c>
      <c r="M24" s="22" t="s">
        <v>417</v>
      </c>
      <c r="N24" s="22" t="s">
        <v>262</v>
      </c>
    </row>
    <row r="25" spans="1:14" ht="51">
      <c r="A25" s="22">
        <v>24</v>
      </c>
      <c r="B25" s="22" t="s">
        <v>31</v>
      </c>
      <c r="C25" s="22" t="s">
        <v>26</v>
      </c>
      <c r="D25" s="22" t="s">
        <v>17</v>
      </c>
      <c r="E25" s="23">
        <v>30000</v>
      </c>
      <c r="F25" s="22" t="s">
        <v>32</v>
      </c>
      <c r="G25" s="22" t="s">
        <v>250</v>
      </c>
      <c r="H25" s="28">
        <v>5000</v>
      </c>
      <c r="I25" s="22" t="s">
        <v>20</v>
      </c>
      <c r="J25" s="22" t="s">
        <v>415</v>
      </c>
      <c r="K25" s="25">
        <v>45481</v>
      </c>
      <c r="L25" s="22" t="s">
        <v>475</v>
      </c>
      <c r="M25" s="22" t="s">
        <v>417</v>
      </c>
      <c r="N25" s="22" t="s">
        <v>262</v>
      </c>
    </row>
    <row r="26" spans="1:14" ht="25.5">
      <c r="A26" s="22">
        <v>25</v>
      </c>
      <c r="B26" s="22" t="s">
        <v>16</v>
      </c>
      <c r="C26" s="22" t="s">
        <v>26</v>
      </c>
      <c r="D26" s="22" t="s">
        <v>17</v>
      </c>
      <c r="E26" s="23">
        <v>12</v>
      </c>
      <c r="F26" s="22" t="s">
        <v>18</v>
      </c>
      <c r="G26" s="22" t="s">
        <v>19</v>
      </c>
      <c r="H26" s="28">
        <v>1075.03</v>
      </c>
      <c r="I26" s="22" t="s">
        <v>20</v>
      </c>
      <c r="J26" s="22" t="s">
        <v>415</v>
      </c>
      <c r="K26" s="25">
        <v>45297</v>
      </c>
      <c r="L26" s="22" t="s">
        <v>476</v>
      </c>
      <c r="M26" s="22" t="s">
        <v>417</v>
      </c>
      <c r="N26" s="22" t="s">
        <v>262</v>
      </c>
    </row>
    <row r="27" spans="1:14" ht="63.75">
      <c r="A27" s="22">
        <v>26</v>
      </c>
      <c r="B27" s="22" t="s">
        <v>477</v>
      </c>
      <c r="C27" s="22" t="s">
        <v>26</v>
      </c>
      <c r="D27" s="22" t="s">
        <v>168</v>
      </c>
      <c r="E27" s="23">
        <v>5</v>
      </c>
      <c r="F27" s="22" t="s">
        <v>33</v>
      </c>
      <c r="G27" s="22" t="s">
        <v>227</v>
      </c>
      <c r="H27" s="28">
        <v>24000</v>
      </c>
      <c r="I27" s="22" t="s">
        <v>20</v>
      </c>
      <c r="J27" s="22" t="s">
        <v>415</v>
      </c>
      <c r="K27" s="25">
        <v>45292</v>
      </c>
      <c r="L27" s="22" t="s">
        <v>20</v>
      </c>
      <c r="M27" s="22" t="s">
        <v>417</v>
      </c>
      <c r="N27" s="22" t="s">
        <v>260</v>
      </c>
    </row>
    <row r="28" spans="1:14" ht="38.25">
      <c r="A28" s="22">
        <v>27</v>
      </c>
      <c r="B28" s="22" t="s">
        <v>133</v>
      </c>
      <c r="C28" s="22" t="s">
        <v>26</v>
      </c>
      <c r="D28" s="22" t="s">
        <v>168</v>
      </c>
      <c r="E28" s="23">
        <v>2</v>
      </c>
      <c r="F28" s="22" t="s">
        <v>33</v>
      </c>
      <c r="G28" s="22" t="s">
        <v>227</v>
      </c>
      <c r="H28" s="28">
        <v>1600</v>
      </c>
      <c r="I28" s="22" t="s">
        <v>20</v>
      </c>
      <c r="J28" s="22" t="s">
        <v>415</v>
      </c>
      <c r="K28" s="25">
        <v>45292</v>
      </c>
      <c r="L28" s="22" t="s">
        <v>20</v>
      </c>
      <c r="M28" s="22" t="s">
        <v>417</v>
      </c>
      <c r="N28" s="22" t="s">
        <v>261</v>
      </c>
    </row>
    <row r="29" spans="1:14" ht="51">
      <c r="A29" s="22">
        <v>28</v>
      </c>
      <c r="B29" s="22" t="s">
        <v>254</v>
      </c>
      <c r="C29" s="22" t="s">
        <v>34</v>
      </c>
      <c r="D29" s="22" t="s">
        <v>168</v>
      </c>
      <c r="E29" s="23">
        <v>5</v>
      </c>
      <c r="F29" s="22" t="s">
        <v>33</v>
      </c>
      <c r="G29" s="22" t="s">
        <v>227</v>
      </c>
      <c r="H29" s="28">
        <v>618.4</v>
      </c>
      <c r="I29" s="22" t="s">
        <v>20</v>
      </c>
      <c r="J29" s="22" t="s">
        <v>478</v>
      </c>
      <c r="K29" s="25">
        <v>45323</v>
      </c>
      <c r="L29" s="22" t="s">
        <v>20</v>
      </c>
      <c r="M29" s="22" t="s">
        <v>417</v>
      </c>
      <c r="N29" s="22" t="s">
        <v>263</v>
      </c>
    </row>
    <row r="30" spans="1:14" ht="51">
      <c r="A30" s="22">
        <v>29</v>
      </c>
      <c r="B30" s="22" t="s">
        <v>253</v>
      </c>
      <c r="C30" s="22" t="s">
        <v>34</v>
      </c>
      <c r="D30" s="22" t="s">
        <v>168</v>
      </c>
      <c r="E30" s="23">
        <v>5</v>
      </c>
      <c r="F30" s="22" t="s">
        <v>33</v>
      </c>
      <c r="G30" s="22" t="s">
        <v>227</v>
      </c>
      <c r="H30" s="28">
        <v>330</v>
      </c>
      <c r="I30" s="22" t="s">
        <v>20</v>
      </c>
      <c r="J30" s="22" t="s">
        <v>478</v>
      </c>
      <c r="K30" s="25">
        <v>45323</v>
      </c>
      <c r="L30" s="22" t="s">
        <v>20</v>
      </c>
      <c r="M30" s="22" t="s">
        <v>417</v>
      </c>
      <c r="N30" s="22" t="s">
        <v>263</v>
      </c>
    </row>
    <row r="31" spans="1:14" ht="51">
      <c r="A31" s="22">
        <v>30</v>
      </c>
      <c r="B31" s="22" t="s">
        <v>165</v>
      </c>
      <c r="C31" s="22" t="s">
        <v>34</v>
      </c>
      <c r="D31" s="22" t="s">
        <v>168</v>
      </c>
      <c r="E31" s="23">
        <v>5</v>
      </c>
      <c r="F31" s="22" t="s">
        <v>33</v>
      </c>
      <c r="G31" s="22" t="s">
        <v>227</v>
      </c>
      <c r="H31" s="28">
        <v>199.7</v>
      </c>
      <c r="I31" s="22" t="s">
        <v>20</v>
      </c>
      <c r="J31" s="22" t="s">
        <v>415</v>
      </c>
      <c r="K31" s="25">
        <v>45597</v>
      </c>
      <c r="L31" s="22" t="s">
        <v>20</v>
      </c>
      <c r="M31" s="22" t="s">
        <v>417</v>
      </c>
      <c r="N31" s="22" t="s">
        <v>264</v>
      </c>
    </row>
    <row r="32" spans="1:14" ht="25.5">
      <c r="A32" s="22">
        <v>31</v>
      </c>
      <c r="B32" s="22" t="s">
        <v>159</v>
      </c>
      <c r="C32" s="22" t="s">
        <v>34</v>
      </c>
      <c r="D32" s="22" t="s">
        <v>168</v>
      </c>
      <c r="E32" s="23">
        <v>5</v>
      </c>
      <c r="F32" s="22" t="s">
        <v>33</v>
      </c>
      <c r="G32" s="22" t="s">
        <v>227</v>
      </c>
      <c r="H32" s="28">
        <v>297</v>
      </c>
      <c r="I32" s="22" t="s">
        <v>20</v>
      </c>
      <c r="J32" s="22" t="s">
        <v>478</v>
      </c>
      <c r="K32" s="25">
        <v>45597</v>
      </c>
      <c r="L32" s="22" t="s">
        <v>20</v>
      </c>
      <c r="M32" s="22" t="s">
        <v>417</v>
      </c>
      <c r="N32" s="22" t="s">
        <v>262</v>
      </c>
    </row>
    <row r="33" spans="1:14" ht="51">
      <c r="A33" s="22">
        <v>32</v>
      </c>
      <c r="B33" s="22" t="s">
        <v>267</v>
      </c>
      <c r="C33" s="22" t="s">
        <v>34</v>
      </c>
      <c r="D33" s="22" t="s">
        <v>35</v>
      </c>
      <c r="E33" s="23">
        <v>50</v>
      </c>
      <c r="F33" s="22" t="s">
        <v>479</v>
      </c>
      <c r="G33" s="22" t="s">
        <v>227</v>
      </c>
      <c r="H33" s="28">
        <v>7919.98</v>
      </c>
      <c r="I33" s="22" t="s">
        <v>20</v>
      </c>
      <c r="J33" s="22" t="s">
        <v>415</v>
      </c>
      <c r="K33" s="25">
        <v>45597</v>
      </c>
      <c r="L33" s="22" t="s">
        <v>20</v>
      </c>
      <c r="M33" s="22" t="s">
        <v>417</v>
      </c>
      <c r="N33" s="22" t="s">
        <v>269</v>
      </c>
    </row>
    <row r="34" spans="1:14" ht="127.5">
      <c r="A34" s="22">
        <v>33</v>
      </c>
      <c r="B34" s="22" t="s">
        <v>174</v>
      </c>
      <c r="C34" s="22" t="s">
        <v>26</v>
      </c>
      <c r="D34" s="22" t="s">
        <v>168</v>
      </c>
      <c r="E34" s="23">
        <v>2</v>
      </c>
      <c r="F34" s="22" t="s">
        <v>33</v>
      </c>
      <c r="G34" s="22" t="s">
        <v>227</v>
      </c>
      <c r="H34" s="28">
        <v>1116</v>
      </c>
      <c r="I34" s="22" t="s">
        <v>20</v>
      </c>
      <c r="J34" s="22" t="s">
        <v>415</v>
      </c>
      <c r="K34" s="25">
        <v>45627</v>
      </c>
      <c r="L34" s="22" t="s">
        <v>20</v>
      </c>
      <c r="M34" s="22" t="s">
        <v>417</v>
      </c>
      <c r="N34" s="22" t="s">
        <v>266</v>
      </c>
    </row>
    <row r="35" spans="1:14" ht="63.75">
      <c r="A35" s="22">
        <v>34</v>
      </c>
      <c r="B35" s="22" t="s">
        <v>158</v>
      </c>
      <c r="C35" s="22" t="s">
        <v>26</v>
      </c>
      <c r="D35" s="22" t="s">
        <v>168</v>
      </c>
      <c r="E35" s="23">
        <v>2</v>
      </c>
      <c r="F35" s="22" t="s">
        <v>33</v>
      </c>
      <c r="G35" s="22" t="s">
        <v>227</v>
      </c>
      <c r="H35" s="28">
        <v>1116</v>
      </c>
      <c r="I35" s="22" t="s">
        <v>20</v>
      </c>
      <c r="J35" s="22" t="s">
        <v>415</v>
      </c>
      <c r="K35" s="25">
        <v>45597</v>
      </c>
      <c r="L35" s="22" t="s">
        <v>20</v>
      </c>
      <c r="M35" s="22" t="s">
        <v>417</v>
      </c>
      <c r="N35" s="22" t="s">
        <v>270</v>
      </c>
    </row>
    <row r="36" spans="1:14" ht="63.75">
      <c r="A36" s="22">
        <v>35</v>
      </c>
      <c r="B36" s="22" t="s">
        <v>252</v>
      </c>
      <c r="C36" s="22" t="s">
        <v>26</v>
      </c>
      <c r="D36" s="22" t="s">
        <v>168</v>
      </c>
      <c r="E36" s="23">
        <v>1</v>
      </c>
      <c r="F36" s="22" t="s">
        <v>33</v>
      </c>
      <c r="G36" s="22" t="s">
        <v>19</v>
      </c>
      <c r="H36" s="28">
        <v>600</v>
      </c>
      <c r="I36" s="22" t="s">
        <v>20</v>
      </c>
      <c r="J36" s="22" t="s">
        <v>415</v>
      </c>
      <c r="K36" s="25">
        <v>45597</v>
      </c>
      <c r="L36" s="22" t="s">
        <v>20</v>
      </c>
      <c r="M36" s="22" t="s">
        <v>417</v>
      </c>
      <c r="N36" s="22" t="s">
        <v>270</v>
      </c>
    </row>
    <row r="37" spans="1:14" ht="76.5">
      <c r="A37" s="22">
        <v>36</v>
      </c>
      <c r="B37" s="22" t="s">
        <v>480</v>
      </c>
      <c r="C37" s="22" t="s">
        <v>25</v>
      </c>
      <c r="D37" s="22" t="s">
        <v>246</v>
      </c>
      <c r="E37" s="23">
        <v>4</v>
      </c>
      <c r="F37" s="22" t="s">
        <v>33</v>
      </c>
      <c r="G37" s="22" t="s">
        <v>231</v>
      </c>
      <c r="H37" s="28">
        <v>15000</v>
      </c>
      <c r="I37" s="22" t="s">
        <v>20</v>
      </c>
      <c r="J37" s="22" t="s">
        <v>478</v>
      </c>
      <c r="K37" s="25">
        <v>45505</v>
      </c>
      <c r="L37" s="22" t="s">
        <v>20</v>
      </c>
      <c r="M37" s="22" t="s">
        <v>417</v>
      </c>
      <c r="N37" s="22" t="s">
        <v>179</v>
      </c>
    </row>
    <row r="38" spans="1:14" ht="89.25">
      <c r="A38" s="22">
        <v>37</v>
      </c>
      <c r="B38" s="22" t="s">
        <v>481</v>
      </c>
      <c r="C38" s="22" t="s">
        <v>25</v>
      </c>
      <c r="D38" s="22" t="s">
        <v>246</v>
      </c>
      <c r="E38" s="23">
        <v>10</v>
      </c>
      <c r="F38" s="22" t="s">
        <v>33</v>
      </c>
      <c r="G38" s="22" t="s">
        <v>232</v>
      </c>
      <c r="H38" s="28">
        <v>5500</v>
      </c>
      <c r="I38" s="22" t="s">
        <v>20</v>
      </c>
      <c r="J38" s="22" t="s">
        <v>478</v>
      </c>
      <c r="K38" s="25">
        <v>45352</v>
      </c>
      <c r="L38" s="22" t="s">
        <v>20</v>
      </c>
      <c r="M38" s="22" t="s">
        <v>417</v>
      </c>
      <c r="N38" s="22" t="s">
        <v>181</v>
      </c>
    </row>
    <row r="39" spans="1:14" ht="25.5">
      <c r="A39" s="22">
        <v>38</v>
      </c>
      <c r="B39" s="22" t="s">
        <v>272</v>
      </c>
      <c r="C39" s="22" t="s">
        <v>34</v>
      </c>
      <c r="D39" s="22" t="s">
        <v>35</v>
      </c>
      <c r="E39" s="23">
        <v>100</v>
      </c>
      <c r="F39" s="22" t="s">
        <v>33</v>
      </c>
      <c r="G39" s="22" t="s">
        <v>205</v>
      </c>
      <c r="H39" s="28">
        <v>1419.12</v>
      </c>
      <c r="I39" s="22" t="s">
        <v>20</v>
      </c>
      <c r="J39" s="22" t="s">
        <v>415</v>
      </c>
      <c r="K39" s="25">
        <v>45413</v>
      </c>
      <c r="L39" s="22" t="s">
        <v>20</v>
      </c>
      <c r="M39" s="22" t="s">
        <v>417</v>
      </c>
      <c r="N39" s="22" t="s">
        <v>262</v>
      </c>
    </row>
    <row r="40" spans="1:14" ht="25.5">
      <c r="A40" s="22">
        <v>39</v>
      </c>
      <c r="B40" s="22" t="s">
        <v>273</v>
      </c>
      <c r="C40" s="22" t="s">
        <v>34</v>
      </c>
      <c r="D40" s="22" t="s">
        <v>35</v>
      </c>
      <c r="E40" s="23">
        <v>2</v>
      </c>
      <c r="F40" s="22" t="s">
        <v>33</v>
      </c>
      <c r="G40" s="22" t="s">
        <v>205</v>
      </c>
      <c r="H40" s="28">
        <v>42.12</v>
      </c>
      <c r="I40" s="22" t="s">
        <v>20</v>
      </c>
      <c r="J40" s="22" t="s">
        <v>415</v>
      </c>
      <c r="K40" s="25">
        <v>45413</v>
      </c>
      <c r="L40" s="22" t="s">
        <v>20</v>
      </c>
      <c r="M40" s="22" t="s">
        <v>417</v>
      </c>
      <c r="N40" s="22" t="s">
        <v>262</v>
      </c>
    </row>
    <row r="41" spans="1:14" ht="25.5">
      <c r="A41" s="22">
        <v>40</v>
      </c>
      <c r="B41" s="22" t="s">
        <v>37</v>
      </c>
      <c r="C41" s="22" t="s">
        <v>34</v>
      </c>
      <c r="D41" s="22" t="s">
        <v>35</v>
      </c>
      <c r="E41" s="23">
        <v>4</v>
      </c>
      <c r="F41" s="22" t="s">
        <v>33</v>
      </c>
      <c r="G41" s="22" t="s">
        <v>206</v>
      </c>
      <c r="H41" s="28">
        <v>506.52</v>
      </c>
      <c r="I41" s="22" t="s">
        <v>20</v>
      </c>
      <c r="J41" s="22" t="s">
        <v>415</v>
      </c>
      <c r="K41" s="25">
        <v>45350</v>
      </c>
      <c r="L41" s="22" t="s">
        <v>20</v>
      </c>
      <c r="M41" s="22" t="s">
        <v>417</v>
      </c>
      <c r="N41" s="22" t="s">
        <v>262</v>
      </c>
    </row>
    <row r="42" spans="1:14" ht="89.25">
      <c r="A42" s="22">
        <v>41</v>
      </c>
      <c r="B42" s="22" t="s">
        <v>155</v>
      </c>
      <c r="C42" s="22" t="s">
        <v>34</v>
      </c>
      <c r="D42" s="22" t="s">
        <v>168</v>
      </c>
      <c r="E42" s="23">
        <v>1</v>
      </c>
      <c r="F42" s="22" t="s">
        <v>33</v>
      </c>
      <c r="G42" s="22" t="s">
        <v>221</v>
      </c>
      <c r="H42" s="28">
        <v>156990</v>
      </c>
      <c r="I42" s="22" t="s">
        <v>20</v>
      </c>
      <c r="J42" s="22" t="s">
        <v>415</v>
      </c>
      <c r="K42" s="25">
        <v>45505</v>
      </c>
      <c r="L42" s="22" t="s">
        <v>20</v>
      </c>
      <c r="M42" s="22" t="s">
        <v>417</v>
      </c>
      <c r="N42" s="22" t="s">
        <v>184</v>
      </c>
    </row>
    <row r="43" spans="1:14" ht="102">
      <c r="A43" s="22">
        <v>42</v>
      </c>
      <c r="B43" s="22" t="s">
        <v>156</v>
      </c>
      <c r="C43" s="22" t="s">
        <v>34</v>
      </c>
      <c r="D43" s="22" t="s">
        <v>168</v>
      </c>
      <c r="E43" s="23">
        <v>1</v>
      </c>
      <c r="F43" s="22" t="s">
        <v>33</v>
      </c>
      <c r="G43" s="22" t="s">
        <v>221</v>
      </c>
      <c r="H43" s="28">
        <v>90000</v>
      </c>
      <c r="I43" s="22" t="s">
        <v>20</v>
      </c>
      <c r="J43" s="22" t="s">
        <v>415</v>
      </c>
      <c r="K43" s="25">
        <v>45505</v>
      </c>
      <c r="L43" s="22" t="s">
        <v>20</v>
      </c>
      <c r="M43" s="22" t="s">
        <v>417</v>
      </c>
      <c r="N43" s="22" t="s">
        <v>183</v>
      </c>
    </row>
    <row r="44" spans="1:14" ht="25.5">
      <c r="A44" s="22">
        <v>43</v>
      </c>
      <c r="B44" s="22" t="s">
        <v>204</v>
      </c>
      <c r="C44" s="22" t="s">
        <v>34</v>
      </c>
      <c r="D44" s="22" t="s">
        <v>35</v>
      </c>
      <c r="E44" s="23">
        <v>5</v>
      </c>
      <c r="F44" s="22" t="s">
        <v>33</v>
      </c>
      <c r="G44" s="22" t="s">
        <v>222</v>
      </c>
      <c r="H44" s="28">
        <v>750</v>
      </c>
      <c r="I44" s="22" t="s">
        <v>20</v>
      </c>
      <c r="J44" s="22" t="s">
        <v>415</v>
      </c>
      <c r="K44" s="25">
        <v>45413</v>
      </c>
      <c r="L44" s="22" t="s">
        <v>20</v>
      </c>
      <c r="M44" s="22" t="s">
        <v>417</v>
      </c>
      <c r="N44" s="22" t="s">
        <v>258</v>
      </c>
    </row>
    <row r="45" spans="1:14" ht="25.5">
      <c r="A45" s="22">
        <v>44</v>
      </c>
      <c r="B45" s="22" t="s">
        <v>39</v>
      </c>
      <c r="C45" s="22" t="s">
        <v>34</v>
      </c>
      <c r="D45" s="22" t="s">
        <v>35</v>
      </c>
      <c r="E45" s="23">
        <v>25000</v>
      </c>
      <c r="F45" s="22" t="s">
        <v>435</v>
      </c>
      <c r="G45" s="22" t="s">
        <v>40</v>
      </c>
      <c r="H45" s="28">
        <v>145750</v>
      </c>
      <c r="I45" s="22" t="s">
        <v>20</v>
      </c>
      <c r="J45" s="22" t="s">
        <v>415</v>
      </c>
      <c r="K45" s="25">
        <v>45627</v>
      </c>
      <c r="L45" s="22" t="s">
        <v>482</v>
      </c>
      <c r="M45" s="22" t="s">
        <v>417</v>
      </c>
      <c r="N45" s="22" t="s">
        <v>258</v>
      </c>
    </row>
    <row r="46" spans="1:14" ht="25.5">
      <c r="A46" s="22">
        <v>45</v>
      </c>
      <c r="B46" s="22" t="s">
        <v>483</v>
      </c>
      <c r="C46" s="22" t="s">
        <v>34</v>
      </c>
      <c r="D46" s="22" t="s">
        <v>35</v>
      </c>
      <c r="E46" s="23">
        <v>40000</v>
      </c>
      <c r="F46" s="22" t="s">
        <v>435</v>
      </c>
      <c r="G46" s="22" t="s">
        <v>40</v>
      </c>
      <c r="H46" s="28">
        <v>221200</v>
      </c>
      <c r="I46" s="22" t="s">
        <v>20</v>
      </c>
      <c r="J46" s="22" t="s">
        <v>415</v>
      </c>
      <c r="K46" s="25">
        <v>45627</v>
      </c>
      <c r="L46" s="22" t="s">
        <v>482</v>
      </c>
      <c r="M46" s="22" t="s">
        <v>417</v>
      </c>
      <c r="N46" s="22" t="s">
        <v>262</v>
      </c>
    </row>
    <row r="47" spans="1:14" ht="25.5">
      <c r="A47" s="22">
        <v>46</v>
      </c>
      <c r="B47" s="22" t="s">
        <v>484</v>
      </c>
      <c r="C47" s="22" t="s">
        <v>34</v>
      </c>
      <c r="D47" s="22" t="s">
        <v>35</v>
      </c>
      <c r="E47" s="23">
        <v>100000</v>
      </c>
      <c r="F47" s="22" t="s">
        <v>435</v>
      </c>
      <c r="G47" s="22" t="s">
        <v>40</v>
      </c>
      <c r="H47" s="28">
        <v>563000</v>
      </c>
      <c r="I47" s="22" t="s">
        <v>20</v>
      </c>
      <c r="J47" s="22" t="s">
        <v>415</v>
      </c>
      <c r="K47" s="25">
        <v>45627</v>
      </c>
      <c r="L47" s="22" t="s">
        <v>482</v>
      </c>
      <c r="M47" s="22" t="s">
        <v>417</v>
      </c>
      <c r="N47" s="22" t="s">
        <v>262</v>
      </c>
    </row>
    <row r="48" spans="1:14" ht="38.25">
      <c r="A48" s="22">
        <v>47</v>
      </c>
      <c r="B48" s="22" t="s">
        <v>485</v>
      </c>
      <c r="C48" s="22" t="s">
        <v>34</v>
      </c>
      <c r="D48" s="22" t="s">
        <v>168</v>
      </c>
      <c r="E48" s="23">
        <v>5</v>
      </c>
      <c r="F48" s="22" t="s">
        <v>33</v>
      </c>
      <c r="G48" s="22" t="s">
        <v>190</v>
      </c>
      <c r="H48" s="28">
        <v>1000000</v>
      </c>
      <c r="I48" s="22" t="s">
        <v>20</v>
      </c>
      <c r="J48" s="22" t="s">
        <v>415</v>
      </c>
      <c r="K48" s="25">
        <v>45627</v>
      </c>
      <c r="L48" s="22" t="s">
        <v>486</v>
      </c>
      <c r="M48" s="22" t="s">
        <v>417</v>
      </c>
      <c r="N48" s="22" t="s">
        <v>258</v>
      </c>
    </row>
    <row r="49" spans="1:14" ht="25.5">
      <c r="A49" s="22">
        <v>48</v>
      </c>
      <c r="B49" s="22" t="s">
        <v>45</v>
      </c>
      <c r="C49" s="22" t="s">
        <v>34</v>
      </c>
      <c r="D49" s="22" t="s">
        <v>35</v>
      </c>
      <c r="E49" s="23">
        <v>65</v>
      </c>
      <c r="F49" s="22" t="s">
        <v>52</v>
      </c>
      <c r="G49" s="22" t="s">
        <v>207</v>
      </c>
      <c r="H49" s="28">
        <v>935</v>
      </c>
      <c r="I49" s="22" t="s">
        <v>20</v>
      </c>
      <c r="J49" s="22" t="s">
        <v>478</v>
      </c>
      <c r="K49" s="25">
        <v>45376</v>
      </c>
      <c r="L49" s="22" t="s">
        <v>487</v>
      </c>
      <c r="M49" s="22" t="s">
        <v>417</v>
      </c>
      <c r="N49" s="22" t="s">
        <v>262</v>
      </c>
    </row>
    <row r="50" spans="1:14" ht="25.5">
      <c r="A50" s="22">
        <v>49</v>
      </c>
      <c r="B50" s="22" t="s">
        <v>41</v>
      </c>
      <c r="C50" s="22" t="s">
        <v>34</v>
      </c>
      <c r="D50" s="22" t="s">
        <v>35</v>
      </c>
      <c r="E50" s="23">
        <v>60</v>
      </c>
      <c r="F50" s="22" t="s">
        <v>33</v>
      </c>
      <c r="G50" s="22" t="s">
        <v>207</v>
      </c>
      <c r="H50" s="28">
        <v>365</v>
      </c>
      <c r="I50" s="22" t="s">
        <v>20</v>
      </c>
      <c r="J50" s="22" t="s">
        <v>478</v>
      </c>
      <c r="K50" s="25">
        <v>45376</v>
      </c>
      <c r="L50" s="22" t="s">
        <v>38</v>
      </c>
      <c r="M50" s="22" t="s">
        <v>417</v>
      </c>
      <c r="N50" s="22" t="s">
        <v>262</v>
      </c>
    </row>
    <row r="51" spans="1:14" ht="38.25">
      <c r="A51" s="22">
        <v>50</v>
      </c>
      <c r="B51" s="22" t="s">
        <v>200</v>
      </c>
      <c r="C51" s="22" t="s">
        <v>34</v>
      </c>
      <c r="D51" s="22" t="s">
        <v>168</v>
      </c>
      <c r="E51" s="23">
        <v>1</v>
      </c>
      <c r="F51" s="22" t="s">
        <v>33</v>
      </c>
      <c r="G51" s="22" t="s">
        <v>208</v>
      </c>
      <c r="H51" s="28">
        <v>4299</v>
      </c>
      <c r="I51" s="22" t="s">
        <v>20</v>
      </c>
      <c r="J51" s="22" t="s">
        <v>478</v>
      </c>
      <c r="K51" s="25">
        <v>45627</v>
      </c>
      <c r="L51" s="25" t="s">
        <v>20</v>
      </c>
      <c r="M51" s="22" t="s">
        <v>417</v>
      </c>
      <c r="N51" s="22" t="s">
        <v>265</v>
      </c>
    </row>
    <row r="52" spans="1:14" ht="25.5">
      <c r="A52" s="22">
        <v>51</v>
      </c>
      <c r="B52" s="22" t="s">
        <v>488</v>
      </c>
      <c r="C52" s="22" t="s">
        <v>34</v>
      </c>
      <c r="D52" s="22" t="s">
        <v>168</v>
      </c>
      <c r="E52" s="23">
        <v>1</v>
      </c>
      <c r="F52" s="22" t="s">
        <v>33</v>
      </c>
      <c r="G52" s="22" t="s">
        <v>208</v>
      </c>
      <c r="H52" s="28">
        <v>5000</v>
      </c>
      <c r="I52" s="22" t="s">
        <v>20</v>
      </c>
      <c r="J52" s="22" t="s">
        <v>415</v>
      </c>
      <c r="K52" s="25">
        <v>45292</v>
      </c>
      <c r="L52" s="25" t="s">
        <v>20</v>
      </c>
      <c r="M52" s="22" t="s">
        <v>417</v>
      </c>
      <c r="N52" s="22" t="s">
        <v>489</v>
      </c>
    </row>
    <row r="53" spans="1:14" ht="38.25">
      <c r="A53" s="22">
        <v>52</v>
      </c>
      <c r="B53" s="22" t="s">
        <v>490</v>
      </c>
      <c r="C53" s="22" t="s">
        <v>172</v>
      </c>
      <c r="D53" s="22" t="s">
        <v>168</v>
      </c>
      <c r="E53" s="23">
        <v>2</v>
      </c>
      <c r="F53" s="22" t="s">
        <v>33</v>
      </c>
      <c r="G53" s="22" t="s">
        <v>208</v>
      </c>
      <c r="H53" s="28">
        <v>1500</v>
      </c>
      <c r="I53" s="22" t="s">
        <v>20</v>
      </c>
      <c r="J53" s="22" t="s">
        <v>415</v>
      </c>
      <c r="K53" s="25">
        <v>45292</v>
      </c>
      <c r="L53" s="25" t="s">
        <v>20</v>
      </c>
      <c r="M53" s="22" t="s">
        <v>417</v>
      </c>
      <c r="N53" s="22" t="s">
        <v>491</v>
      </c>
    </row>
    <row r="54" spans="1:14" ht="76.5">
      <c r="A54" s="22">
        <v>53</v>
      </c>
      <c r="B54" s="22" t="s">
        <v>276</v>
      </c>
      <c r="C54" s="22" t="s">
        <v>34</v>
      </c>
      <c r="D54" s="22" t="s">
        <v>168</v>
      </c>
      <c r="E54" s="23">
        <v>2</v>
      </c>
      <c r="F54" s="22" t="s">
        <v>33</v>
      </c>
      <c r="G54" s="22" t="s">
        <v>208</v>
      </c>
      <c r="H54" s="28">
        <v>854</v>
      </c>
      <c r="I54" s="22" t="s">
        <v>20</v>
      </c>
      <c r="J54" s="22" t="s">
        <v>415</v>
      </c>
      <c r="K54" s="25">
        <v>45627</v>
      </c>
      <c r="L54" s="25" t="s">
        <v>20</v>
      </c>
      <c r="M54" s="22" t="s">
        <v>417</v>
      </c>
      <c r="N54" s="22" t="s">
        <v>256</v>
      </c>
    </row>
    <row r="55" spans="1:14" ht="25.5">
      <c r="A55" s="22">
        <v>54</v>
      </c>
      <c r="B55" s="22" t="s">
        <v>188</v>
      </c>
      <c r="C55" s="22" t="s">
        <v>34</v>
      </c>
      <c r="D55" s="22" t="s">
        <v>168</v>
      </c>
      <c r="E55" s="23">
        <v>2</v>
      </c>
      <c r="F55" s="22" t="s">
        <v>33</v>
      </c>
      <c r="G55" s="22" t="s">
        <v>208</v>
      </c>
      <c r="H55" s="28">
        <v>854</v>
      </c>
      <c r="I55" s="22" t="s">
        <v>20</v>
      </c>
      <c r="J55" s="22" t="s">
        <v>415</v>
      </c>
      <c r="K55" s="25">
        <v>45627</v>
      </c>
      <c r="L55" s="25" t="s">
        <v>20</v>
      </c>
      <c r="M55" s="22" t="s">
        <v>417</v>
      </c>
      <c r="N55" s="22" t="s">
        <v>262</v>
      </c>
    </row>
    <row r="56" spans="1:14" ht="25.5">
      <c r="A56" s="22">
        <v>55</v>
      </c>
      <c r="B56" s="22" t="s">
        <v>47</v>
      </c>
      <c r="C56" s="22" t="s">
        <v>34</v>
      </c>
      <c r="D56" s="22" t="s">
        <v>168</v>
      </c>
      <c r="E56" s="23">
        <v>2</v>
      </c>
      <c r="F56" s="22" t="s">
        <v>33</v>
      </c>
      <c r="G56" s="22" t="s">
        <v>208</v>
      </c>
      <c r="H56" s="28">
        <v>584</v>
      </c>
      <c r="I56" s="22" t="s">
        <v>20</v>
      </c>
      <c r="J56" s="22" t="s">
        <v>415</v>
      </c>
      <c r="K56" s="25">
        <v>45444</v>
      </c>
      <c r="L56" s="25" t="s">
        <v>20</v>
      </c>
      <c r="M56" s="22" t="s">
        <v>417</v>
      </c>
      <c r="N56" s="22" t="s">
        <v>262</v>
      </c>
    </row>
    <row r="57" spans="1:14" ht="25.5">
      <c r="A57" s="22">
        <v>56</v>
      </c>
      <c r="B57" s="22" t="s">
        <v>187</v>
      </c>
      <c r="C57" s="22" t="s">
        <v>25</v>
      </c>
      <c r="D57" s="22" t="s">
        <v>246</v>
      </c>
      <c r="E57" s="23">
        <v>50</v>
      </c>
      <c r="F57" s="22" t="s">
        <v>33</v>
      </c>
      <c r="G57" s="22" t="s">
        <v>237</v>
      </c>
      <c r="H57" s="28">
        <v>140</v>
      </c>
      <c r="I57" s="22" t="s">
        <v>20</v>
      </c>
      <c r="J57" s="22" t="s">
        <v>478</v>
      </c>
      <c r="K57" s="25">
        <v>45413</v>
      </c>
      <c r="L57" s="25" t="s">
        <v>20</v>
      </c>
      <c r="M57" s="22" t="s">
        <v>417</v>
      </c>
      <c r="N57" s="22" t="s">
        <v>262</v>
      </c>
    </row>
    <row r="58" spans="1:14" ht="63.75">
      <c r="A58" s="22">
        <v>57</v>
      </c>
      <c r="B58" s="22" t="s">
        <v>119</v>
      </c>
      <c r="C58" s="22" t="s">
        <v>25</v>
      </c>
      <c r="D58" s="22" t="s">
        <v>246</v>
      </c>
      <c r="E58" s="23">
        <v>500</v>
      </c>
      <c r="F58" s="22" t="s">
        <v>75</v>
      </c>
      <c r="G58" s="22" t="s">
        <v>215</v>
      </c>
      <c r="H58" s="28">
        <v>30000</v>
      </c>
      <c r="I58" s="22" t="s">
        <v>20</v>
      </c>
      <c r="J58" s="22" t="s">
        <v>492</v>
      </c>
      <c r="K58" s="25">
        <v>45352</v>
      </c>
      <c r="L58" s="25" t="s">
        <v>20</v>
      </c>
      <c r="M58" s="22" t="s">
        <v>417</v>
      </c>
      <c r="N58" s="22" t="s">
        <v>493</v>
      </c>
    </row>
    <row r="59" spans="1:14" ht="25.5">
      <c r="A59" s="22">
        <v>58</v>
      </c>
      <c r="B59" s="22" t="s">
        <v>116</v>
      </c>
      <c r="C59" s="22" t="s">
        <v>25</v>
      </c>
      <c r="D59" s="22" t="s">
        <v>246</v>
      </c>
      <c r="E59" s="23">
        <v>50</v>
      </c>
      <c r="F59" s="22" t="s">
        <v>75</v>
      </c>
      <c r="G59" s="22" t="s">
        <v>215</v>
      </c>
      <c r="H59" s="28">
        <v>4104</v>
      </c>
      <c r="I59" s="22" t="s">
        <v>20</v>
      </c>
      <c r="J59" s="22" t="s">
        <v>415</v>
      </c>
      <c r="K59" s="25">
        <v>45352</v>
      </c>
      <c r="L59" s="25" t="s">
        <v>20</v>
      </c>
      <c r="M59" s="22" t="s">
        <v>417</v>
      </c>
      <c r="N59" s="22" t="s">
        <v>258</v>
      </c>
    </row>
    <row r="60" spans="1:14" ht="63.75">
      <c r="A60" s="22">
        <v>59</v>
      </c>
      <c r="B60" s="22" t="s">
        <v>129</v>
      </c>
      <c r="C60" s="22" t="s">
        <v>25</v>
      </c>
      <c r="D60" s="22" t="s">
        <v>246</v>
      </c>
      <c r="E60" s="23">
        <v>5000</v>
      </c>
      <c r="F60" s="22" t="s">
        <v>33</v>
      </c>
      <c r="G60" s="22" t="s">
        <v>215</v>
      </c>
      <c r="H60" s="28">
        <v>4050</v>
      </c>
      <c r="I60" s="22" t="s">
        <v>20</v>
      </c>
      <c r="J60" s="22" t="s">
        <v>492</v>
      </c>
      <c r="K60" s="25">
        <v>45352</v>
      </c>
      <c r="L60" s="25" t="s">
        <v>20</v>
      </c>
      <c r="M60" s="22" t="s">
        <v>417</v>
      </c>
      <c r="N60" s="22" t="s">
        <v>185</v>
      </c>
    </row>
    <row r="61" spans="1:14" ht="51">
      <c r="A61" s="22">
        <v>60</v>
      </c>
      <c r="B61" s="22" t="s">
        <v>120</v>
      </c>
      <c r="C61" s="22" t="s">
        <v>25</v>
      </c>
      <c r="D61" s="22" t="s">
        <v>246</v>
      </c>
      <c r="E61" s="23">
        <v>30</v>
      </c>
      <c r="F61" s="22" t="s">
        <v>75</v>
      </c>
      <c r="G61" s="22" t="s">
        <v>215</v>
      </c>
      <c r="H61" s="28">
        <v>1296</v>
      </c>
      <c r="I61" s="22" t="s">
        <v>20</v>
      </c>
      <c r="J61" s="22" t="s">
        <v>492</v>
      </c>
      <c r="K61" s="25">
        <v>45352</v>
      </c>
      <c r="L61" s="25" t="s">
        <v>20</v>
      </c>
      <c r="M61" s="22" t="s">
        <v>417</v>
      </c>
      <c r="N61" s="22" t="s">
        <v>259</v>
      </c>
    </row>
    <row r="62" spans="1:14" ht="51">
      <c r="A62" s="22">
        <v>61</v>
      </c>
      <c r="B62" s="22" t="s">
        <v>118</v>
      </c>
      <c r="C62" s="22" t="s">
        <v>25</v>
      </c>
      <c r="D62" s="22" t="s">
        <v>246</v>
      </c>
      <c r="E62" s="23">
        <v>30</v>
      </c>
      <c r="F62" s="22" t="s">
        <v>75</v>
      </c>
      <c r="G62" s="22" t="s">
        <v>215</v>
      </c>
      <c r="H62" s="28">
        <v>1166</v>
      </c>
      <c r="I62" s="22" t="s">
        <v>20</v>
      </c>
      <c r="J62" s="22" t="s">
        <v>492</v>
      </c>
      <c r="K62" s="25">
        <v>45352</v>
      </c>
      <c r="L62" s="25" t="s">
        <v>20</v>
      </c>
      <c r="M62" s="22" t="s">
        <v>417</v>
      </c>
      <c r="N62" s="22" t="s">
        <v>259</v>
      </c>
    </row>
    <row r="63" spans="1:14" ht="25.5">
      <c r="A63" s="22">
        <v>62</v>
      </c>
      <c r="B63" s="22" t="s">
        <v>248</v>
      </c>
      <c r="C63" s="22" t="s">
        <v>25</v>
      </c>
      <c r="D63" s="22" t="s">
        <v>246</v>
      </c>
      <c r="E63" s="23">
        <v>10</v>
      </c>
      <c r="F63" s="22" t="s">
        <v>33</v>
      </c>
      <c r="G63" s="22" t="s">
        <v>236</v>
      </c>
      <c r="H63" s="28">
        <v>450</v>
      </c>
      <c r="I63" s="22" t="s">
        <v>20</v>
      </c>
      <c r="J63" s="22" t="s">
        <v>492</v>
      </c>
      <c r="K63" s="25">
        <v>45352</v>
      </c>
      <c r="L63" s="25" t="s">
        <v>20</v>
      </c>
      <c r="M63" s="22" t="s">
        <v>417</v>
      </c>
      <c r="N63" s="22" t="s">
        <v>262</v>
      </c>
    </row>
    <row r="64" spans="1:14" ht="25.5">
      <c r="A64" s="22">
        <v>63</v>
      </c>
      <c r="B64" s="22" t="s">
        <v>494</v>
      </c>
      <c r="C64" s="22" t="s">
        <v>34</v>
      </c>
      <c r="D64" s="22" t="s">
        <v>168</v>
      </c>
      <c r="E64" s="23">
        <v>1</v>
      </c>
      <c r="F64" s="22" t="s">
        <v>33</v>
      </c>
      <c r="G64" s="22" t="s">
        <v>208</v>
      </c>
      <c r="H64" s="28">
        <v>3000</v>
      </c>
      <c r="I64" s="22" t="s">
        <v>20</v>
      </c>
      <c r="J64" s="22" t="s">
        <v>415</v>
      </c>
      <c r="K64" s="25">
        <v>45292</v>
      </c>
      <c r="L64" s="25" t="s">
        <v>20</v>
      </c>
      <c r="M64" s="22" t="s">
        <v>417</v>
      </c>
      <c r="N64" s="22" t="s">
        <v>262</v>
      </c>
    </row>
    <row r="65" spans="1:14" ht="63.75">
      <c r="A65" s="22">
        <v>64</v>
      </c>
      <c r="B65" s="22" t="s">
        <v>132</v>
      </c>
      <c r="C65" s="22" t="s">
        <v>25</v>
      </c>
      <c r="D65" s="22" t="s">
        <v>246</v>
      </c>
      <c r="E65" s="23">
        <v>1</v>
      </c>
      <c r="F65" s="22" t="s">
        <v>33</v>
      </c>
      <c r="G65" s="22" t="s">
        <v>132</v>
      </c>
      <c r="H65" s="28">
        <v>7500</v>
      </c>
      <c r="I65" s="22" t="s">
        <v>20</v>
      </c>
      <c r="J65" s="22" t="s">
        <v>415</v>
      </c>
      <c r="K65" s="25">
        <v>45505</v>
      </c>
      <c r="L65" s="25" t="s">
        <v>20</v>
      </c>
      <c r="M65" s="22" t="s">
        <v>417</v>
      </c>
      <c r="N65" s="22" t="s">
        <v>257</v>
      </c>
    </row>
    <row r="66" spans="1:14" ht="25.5">
      <c r="A66" s="22">
        <v>65</v>
      </c>
      <c r="B66" s="22" t="s">
        <v>198</v>
      </c>
      <c r="C66" s="22" t="s">
        <v>241</v>
      </c>
      <c r="D66" s="22" t="s">
        <v>246</v>
      </c>
      <c r="E66" s="23">
        <v>500</v>
      </c>
      <c r="F66" s="22" t="s">
        <v>33</v>
      </c>
      <c r="G66" s="22" t="s">
        <v>207</v>
      </c>
      <c r="H66" s="24">
        <v>5500</v>
      </c>
      <c r="I66" s="22" t="s">
        <v>20</v>
      </c>
      <c r="J66" s="22" t="s">
        <v>415</v>
      </c>
      <c r="K66" s="25">
        <v>45292</v>
      </c>
      <c r="L66" s="22" t="s">
        <v>20</v>
      </c>
      <c r="M66" s="22" t="s">
        <v>417</v>
      </c>
      <c r="N66" s="22" t="s">
        <v>489</v>
      </c>
    </row>
    <row r="67" spans="1:14" ht="25.5">
      <c r="A67" s="22">
        <v>66</v>
      </c>
      <c r="B67" s="22" t="s">
        <v>209</v>
      </c>
      <c r="C67" s="22" t="s">
        <v>34</v>
      </c>
      <c r="D67" s="22" t="s">
        <v>168</v>
      </c>
      <c r="E67" s="23">
        <v>3</v>
      </c>
      <c r="F67" s="22" t="s">
        <v>33</v>
      </c>
      <c r="G67" s="22" t="s">
        <v>495</v>
      </c>
      <c r="H67" s="24">
        <v>50000</v>
      </c>
      <c r="I67" s="22" t="s">
        <v>20</v>
      </c>
      <c r="J67" s="22" t="s">
        <v>415</v>
      </c>
      <c r="K67" s="25">
        <v>45292</v>
      </c>
      <c r="L67" s="22" t="s">
        <v>20</v>
      </c>
      <c r="M67" s="22" t="s">
        <v>417</v>
      </c>
      <c r="N67" s="22" t="s">
        <v>262</v>
      </c>
    </row>
    <row r="68" spans="1:14" ht="25.5">
      <c r="A68" s="22">
        <v>67</v>
      </c>
      <c r="B68" s="22" t="s">
        <v>496</v>
      </c>
      <c r="C68" s="22" t="s">
        <v>34</v>
      </c>
      <c r="D68" s="22" t="s">
        <v>168</v>
      </c>
      <c r="E68" s="23">
        <v>12</v>
      </c>
      <c r="F68" s="22" t="s">
        <v>18</v>
      </c>
      <c r="G68" s="22" t="s">
        <v>495</v>
      </c>
      <c r="H68" s="24">
        <v>25000</v>
      </c>
      <c r="I68" s="22" t="s">
        <v>20</v>
      </c>
      <c r="J68" s="22" t="s">
        <v>415</v>
      </c>
      <c r="K68" s="25">
        <v>45292</v>
      </c>
      <c r="L68" s="22" t="s">
        <v>38</v>
      </c>
      <c r="M68" s="22" t="s">
        <v>417</v>
      </c>
      <c r="N68" s="22" t="s">
        <v>262</v>
      </c>
    </row>
  </sheetData>
  <pageMargins left="0.511811024" right="0.511811024" top="0.78740157499999996" bottom="0.78740157499999996" header="0.31496062000000002" footer="0.31496062000000002"/>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9"/>
  <sheetViews>
    <sheetView workbookViewId="0">
      <selection activeCell="L3" sqref="L3"/>
    </sheetView>
  </sheetViews>
  <sheetFormatPr defaultRowHeight="15"/>
  <cols>
    <col min="2" max="2" width="20.5703125" customWidth="1"/>
    <col min="7" max="7" width="27.28515625" customWidth="1"/>
    <col min="9" max="9" width="21.7109375" customWidth="1"/>
    <col min="12" max="12" width="21.42578125" customWidth="1"/>
  </cols>
  <sheetData>
    <row r="1" spans="1:14" ht="75">
      <c r="A1" s="2" t="s">
        <v>0</v>
      </c>
      <c r="B1" s="2" t="s">
        <v>9</v>
      </c>
      <c r="C1" s="2" t="s">
        <v>10</v>
      </c>
      <c r="D1" s="2" t="s">
        <v>1</v>
      </c>
      <c r="E1" s="2" t="s">
        <v>11</v>
      </c>
      <c r="F1" s="2" t="s">
        <v>8</v>
      </c>
      <c r="G1" s="2" t="s">
        <v>2</v>
      </c>
      <c r="H1" s="2" t="s">
        <v>15</v>
      </c>
      <c r="I1" s="2" t="s">
        <v>3</v>
      </c>
      <c r="J1" s="2" t="s">
        <v>4</v>
      </c>
      <c r="K1" s="2" t="s">
        <v>5</v>
      </c>
      <c r="L1" s="2" t="s">
        <v>6</v>
      </c>
      <c r="M1" s="2" t="s">
        <v>7</v>
      </c>
      <c r="N1" s="2" t="s">
        <v>12</v>
      </c>
    </row>
    <row r="2" spans="1:14" ht="60">
      <c r="A2" s="2">
        <v>1</v>
      </c>
      <c r="B2" s="3" t="s">
        <v>497</v>
      </c>
      <c r="C2" s="3" t="s">
        <v>25</v>
      </c>
      <c r="D2" s="3" t="s">
        <v>17</v>
      </c>
      <c r="E2" s="3">
        <v>1</v>
      </c>
      <c r="F2" s="3" t="s">
        <v>18</v>
      </c>
      <c r="G2" s="3" t="s">
        <v>402</v>
      </c>
      <c r="H2" s="29">
        <v>890</v>
      </c>
      <c r="I2" s="29">
        <v>890000</v>
      </c>
      <c r="J2" s="30" t="s">
        <v>20</v>
      </c>
      <c r="K2" s="3" t="s">
        <v>21</v>
      </c>
      <c r="L2" s="4">
        <v>45292</v>
      </c>
      <c r="M2" s="2"/>
      <c r="N2" s="3" t="s">
        <v>498</v>
      </c>
    </row>
    <row r="3" spans="1:14" ht="60">
      <c r="A3" s="3">
        <v>2</v>
      </c>
      <c r="B3" s="3" t="s">
        <v>30</v>
      </c>
      <c r="C3" s="3" t="s">
        <v>26</v>
      </c>
      <c r="D3" s="3" t="s">
        <v>17</v>
      </c>
      <c r="E3" s="31">
        <v>4200</v>
      </c>
      <c r="F3" s="3" t="s">
        <v>32</v>
      </c>
      <c r="G3" s="3" t="s">
        <v>250</v>
      </c>
      <c r="H3" s="5">
        <v>1.1100000000000001</v>
      </c>
      <c r="I3" s="5">
        <f t="shared" ref="I3:I17" si="0">E3*H3</f>
        <v>4662</v>
      </c>
      <c r="J3" s="3" t="s">
        <v>20</v>
      </c>
      <c r="K3" s="3" t="s">
        <v>21</v>
      </c>
      <c r="L3" s="4">
        <v>45481</v>
      </c>
      <c r="M3" s="3" t="s">
        <v>29</v>
      </c>
      <c r="N3" s="3" t="s">
        <v>498</v>
      </c>
    </row>
    <row r="4" spans="1:14" ht="60">
      <c r="A4" s="3">
        <v>3</v>
      </c>
      <c r="B4" s="3" t="s">
        <v>31</v>
      </c>
      <c r="C4" s="3" t="s">
        <v>26</v>
      </c>
      <c r="D4" s="3" t="s">
        <v>17</v>
      </c>
      <c r="E4" s="31">
        <v>2400</v>
      </c>
      <c r="F4" s="3" t="s">
        <v>32</v>
      </c>
      <c r="G4" s="3" t="s">
        <v>250</v>
      </c>
      <c r="H4" s="5">
        <v>0.11</v>
      </c>
      <c r="I4" s="5">
        <f t="shared" si="0"/>
        <v>264</v>
      </c>
      <c r="J4" s="3" t="s">
        <v>20</v>
      </c>
      <c r="K4" s="3" t="s">
        <v>21</v>
      </c>
      <c r="L4" s="4">
        <v>45481</v>
      </c>
      <c r="M4" s="3" t="s">
        <v>29</v>
      </c>
      <c r="N4" s="3" t="s">
        <v>498</v>
      </c>
    </row>
    <row r="5" spans="1:14" ht="60">
      <c r="A5" s="3">
        <v>4</v>
      </c>
      <c r="B5" s="3" t="s">
        <v>499</v>
      </c>
      <c r="C5" s="3" t="s">
        <v>26</v>
      </c>
      <c r="D5" s="3" t="s">
        <v>17</v>
      </c>
      <c r="E5" s="11">
        <v>12</v>
      </c>
      <c r="F5" s="3" t="s">
        <v>18</v>
      </c>
      <c r="G5" s="3" t="s">
        <v>19</v>
      </c>
      <c r="H5" s="5">
        <v>502.62</v>
      </c>
      <c r="I5" s="32">
        <v>6031.44</v>
      </c>
      <c r="J5" s="3" t="s">
        <v>20</v>
      </c>
      <c r="K5" s="3" t="s">
        <v>21</v>
      </c>
      <c r="L5" s="4">
        <v>45297</v>
      </c>
      <c r="M5" s="3" t="s">
        <v>23</v>
      </c>
      <c r="N5" s="3" t="s">
        <v>498</v>
      </c>
    </row>
    <row r="6" spans="1:14" ht="60">
      <c r="A6" s="3">
        <v>6</v>
      </c>
      <c r="B6" s="30" t="s">
        <v>500</v>
      </c>
      <c r="C6" s="3" t="s">
        <v>25</v>
      </c>
      <c r="D6" s="3" t="s">
        <v>246</v>
      </c>
      <c r="E6" s="11">
        <v>4</v>
      </c>
      <c r="F6" s="3" t="s">
        <v>33</v>
      </c>
      <c r="G6" s="3" t="s">
        <v>231</v>
      </c>
      <c r="H6" s="5">
        <v>2000</v>
      </c>
      <c r="I6" s="5">
        <f t="shared" si="0"/>
        <v>8000</v>
      </c>
      <c r="J6" s="3" t="s">
        <v>20</v>
      </c>
      <c r="K6" s="3" t="s">
        <v>169</v>
      </c>
      <c r="L6" s="4">
        <v>1012024</v>
      </c>
      <c r="M6" s="3" t="s">
        <v>20</v>
      </c>
      <c r="N6" s="3" t="s">
        <v>498</v>
      </c>
    </row>
    <row r="7" spans="1:14" ht="75">
      <c r="A7" s="3">
        <v>7</v>
      </c>
      <c r="B7" s="30" t="s">
        <v>501</v>
      </c>
      <c r="C7" s="3" t="s">
        <v>25</v>
      </c>
      <c r="D7" s="3" t="s">
        <v>246</v>
      </c>
      <c r="E7" s="11">
        <v>5</v>
      </c>
      <c r="F7" s="3" t="s">
        <v>33</v>
      </c>
      <c r="G7" s="3" t="s">
        <v>232</v>
      </c>
      <c r="H7" s="5">
        <v>600</v>
      </c>
      <c r="I7" s="5">
        <f t="shared" si="0"/>
        <v>3000</v>
      </c>
      <c r="J7" s="3" t="s">
        <v>20</v>
      </c>
      <c r="K7" s="3" t="s">
        <v>169</v>
      </c>
      <c r="L7" s="4">
        <v>45352</v>
      </c>
      <c r="M7" s="3" t="s">
        <v>20</v>
      </c>
      <c r="N7" s="3" t="s">
        <v>498</v>
      </c>
    </row>
    <row r="8" spans="1:14" ht="60">
      <c r="A8" s="33">
        <v>8</v>
      </c>
      <c r="B8" s="3" t="s">
        <v>132</v>
      </c>
      <c r="C8" s="3" t="s">
        <v>25</v>
      </c>
      <c r="D8" s="3" t="s">
        <v>246</v>
      </c>
      <c r="E8" s="11">
        <v>1</v>
      </c>
      <c r="F8" s="3" t="s">
        <v>33</v>
      </c>
      <c r="G8" s="3" t="s">
        <v>132</v>
      </c>
      <c r="H8" s="5">
        <v>2500</v>
      </c>
      <c r="I8" s="5">
        <f>E8*H8</f>
        <v>2500</v>
      </c>
      <c r="J8" s="3" t="s">
        <v>20</v>
      </c>
      <c r="K8" s="3" t="s">
        <v>169</v>
      </c>
      <c r="L8" s="4">
        <v>45505</v>
      </c>
      <c r="M8" s="3" t="s">
        <v>20</v>
      </c>
      <c r="N8" s="3" t="s">
        <v>498</v>
      </c>
    </row>
    <row r="9" spans="1:14" ht="60">
      <c r="A9" s="3">
        <v>9</v>
      </c>
      <c r="B9" s="3" t="s">
        <v>502</v>
      </c>
      <c r="C9" s="3" t="s">
        <v>34</v>
      </c>
      <c r="D9" s="3" t="s">
        <v>17</v>
      </c>
      <c r="E9" s="11">
        <v>1</v>
      </c>
      <c r="F9" s="3" t="s">
        <v>33</v>
      </c>
      <c r="G9" s="3" t="s">
        <v>232</v>
      </c>
      <c r="H9" s="5">
        <v>1990</v>
      </c>
      <c r="I9" s="5">
        <f>E9*H9</f>
        <v>1990</v>
      </c>
      <c r="J9" s="3" t="s">
        <v>420</v>
      </c>
      <c r="K9" s="3" t="s">
        <v>169</v>
      </c>
      <c r="L9" s="4">
        <v>45292</v>
      </c>
      <c r="M9" s="3" t="s">
        <v>20</v>
      </c>
      <c r="N9" s="3" t="s">
        <v>498</v>
      </c>
    </row>
    <row r="10" spans="1:14" ht="60">
      <c r="A10" s="3">
        <v>10</v>
      </c>
      <c r="B10" s="3" t="s">
        <v>503</v>
      </c>
      <c r="C10" s="3" t="s">
        <v>25</v>
      </c>
      <c r="D10" s="3" t="s">
        <v>246</v>
      </c>
      <c r="E10" s="11">
        <v>300</v>
      </c>
      <c r="F10" s="3" t="s">
        <v>504</v>
      </c>
      <c r="G10" s="3" t="s">
        <v>505</v>
      </c>
      <c r="H10" s="5">
        <v>50</v>
      </c>
      <c r="I10" s="5">
        <f>E10*H10</f>
        <v>15000</v>
      </c>
      <c r="J10" s="3" t="s">
        <v>20</v>
      </c>
      <c r="K10" s="3" t="s">
        <v>21</v>
      </c>
      <c r="L10" s="4">
        <v>45383</v>
      </c>
      <c r="M10" s="3" t="s">
        <v>38</v>
      </c>
      <c r="N10" s="3" t="s">
        <v>498</v>
      </c>
    </row>
    <row r="11" spans="1:14" ht="60">
      <c r="A11" s="3">
        <v>11</v>
      </c>
      <c r="B11" s="3" t="s">
        <v>506</v>
      </c>
      <c r="C11" s="3" t="s">
        <v>34</v>
      </c>
      <c r="D11" s="3" t="s">
        <v>17</v>
      </c>
      <c r="E11" s="11">
        <v>1</v>
      </c>
      <c r="F11" s="3" t="s">
        <v>33</v>
      </c>
      <c r="G11" s="3" t="s">
        <v>232</v>
      </c>
      <c r="H11" s="5">
        <v>950</v>
      </c>
      <c r="I11" s="5">
        <f>E11*H11</f>
        <v>950</v>
      </c>
      <c r="J11" s="3" t="s">
        <v>20</v>
      </c>
      <c r="K11" s="3" t="s">
        <v>169</v>
      </c>
      <c r="L11" s="4">
        <v>45292</v>
      </c>
      <c r="M11" s="3" t="s">
        <v>20</v>
      </c>
      <c r="N11" s="3" t="s">
        <v>498</v>
      </c>
    </row>
    <row r="12" spans="1:14" ht="60">
      <c r="A12" s="3">
        <v>12</v>
      </c>
      <c r="B12" s="3" t="s">
        <v>507</v>
      </c>
      <c r="C12" s="3" t="s">
        <v>34</v>
      </c>
      <c r="D12" s="3" t="s">
        <v>35</v>
      </c>
      <c r="E12" s="11">
        <v>36</v>
      </c>
      <c r="F12" s="3" t="s">
        <v>508</v>
      </c>
      <c r="G12" s="3" t="s">
        <v>205</v>
      </c>
      <c r="H12" s="34">
        <v>9.3800000000000008</v>
      </c>
      <c r="I12" s="34">
        <v>337.68</v>
      </c>
      <c r="J12" s="3" t="s">
        <v>20</v>
      </c>
      <c r="K12" s="3" t="s">
        <v>21</v>
      </c>
      <c r="L12" s="4">
        <v>45413</v>
      </c>
      <c r="M12" s="3" t="s">
        <v>20</v>
      </c>
      <c r="N12" s="3" t="s">
        <v>498</v>
      </c>
    </row>
    <row r="13" spans="1:14" ht="60">
      <c r="A13" s="3">
        <v>13</v>
      </c>
      <c r="B13" s="30" t="s">
        <v>509</v>
      </c>
      <c r="C13" s="3" t="s">
        <v>34</v>
      </c>
      <c r="D13" s="3" t="s">
        <v>35</v>
      </c>
      <c r="E13" s="11">
        <v>24</v>
      </c>
      <c r="F13" s="3" t="s">
        <v>510</v>
      </c>
      <c r="G13" s="3" t="s">
        <v>205</v>
      </c>
      <c r="H13" s="34">
        <v>38.42</v>
      </c>
      <c r="I13" s="34">
        <v>922</v>
      </c>
      <c r="J13" s="3" t="s">
        <v>20</v>
      </c>
      <c r="K13" s="3" t="s">
        <v>36</v>
      </c>
      <c r="L13" s="4">
        <v>45413</v>
      </c>
      <c r="M13" s="3" t="s">
        <v>20</v>
      </c>
      <c r="N13" s="3" t="s">
        <v>498</v>
      </c>
    </row>
    <row r="14" spans="1:14" ht="60">
      <c r="A14" s="3">
        <v>14</v>
      </c>
      <c r="B14" s="3" t="s">
        <v>511</v>
      </c>
      <c r="C14" s="3" t="s">
        <v>34</v>
      </c>
      <c r="D14" s="3" t="s">
        <v>168</v>
      </c>
      <c r="E14" s="11">
        <v>1</v>
      </c>
      <c r="F14" s="3" t="s">
        <v>33</v>
      </c>
      <c r="G14" s="3" t="s">
        <v>221</v>
      </c>
      <c r="H14" s="34">
        <f>115990</f>
        <v>115990</v>
      </c>
      <c r="I14" s="5">
        <f t="shared" si="0"/>
        <v>115990</v>
      </c>
      <c r="J14" s="3" t="s">
        <v>20</v>
      </c>
      <c r="K14" s="3" t="s">
        <v>21</v>
      </c>
      <c r="L14" s="4">
        <v>45505</v>
      </c>
      <c r="M14" s="3" t="s">
        <v>20</v>
      </c>
      <c r="N14" s="3" t="s">
        <v>498</v>
      </c>
    </row>
    <row r="15" spans="1:14" ht="60">
      <c r="A15" s="3">
        <v>15</v>
      </c>
      <c r="B15" s="30" t="s">
        <v>39</v>
      </c>
      <c r="C15" s="3" t="s">
        <v>34</v>
      </c>
      <c r="D15" s="3" t="s">
        <v>35</v>
      </c>
      <c r="E15" s="11">
        <v>240</v>
      </c>
      <c r="F15" s="3" t="s">
        <v>58</v>
      </c>
      <c r="G15" s="3" t="s">
        <v>40</v>
      </c>
      <c r="H15" s="5">
        <v>6.2532000000000005</v>
      </c>
      <c r="I15" s="5">
        <f t="shared" si="0"/>
        <v>1500.768</v>
      </c>
      <c r="J15" s="3" t="s">
        <v>20</v>
      </c>
      <c r="K15" s="3" t="s">
        <v>21</v>
      </c>
      <c r="L15" s="4">
        <v>45292</v>
      </c>
      <c r="M15" s="3" t="s">
        <v>38</v>
      </c>
      <c r="N15" s="3" t="s">
        <v>498</v>
      </c>
    </row>
    <row r="16" spans="1:14" ht="60">
      <c r="A16" s="3">
        <v>16</v>
      </c>
      <c r="B16" s="3" t="s">
        <v>240</v>
      </c>
      <c r="C16" s="3" t="s">
        <v>34</v>
      </c>
      <c r="D16" s="3" t="s">
        <v>168</v>
      </c>
      <c r="E16" s="11">
        <v>2</v>
      </c>
      <c r="F16" s="3" t="s">
        <v>33</v>
      </c>
      <c r="G16" s="3" t="s">
        <v>190</v>
      </c>
      <c r="H16" s="5">
        <v>519</v>
      </c>
      <c r="I16" s="5">
        <f t="shared" si="0"/>
        <v>1038</v>
      </c>
      <c r="J16" s="3" t="s">
        <v>20</v>
      </c>
      <c r="K16" s="3" t="s">
        <v>21</v>
      </c>
      <c r="L16" s="4">
        <v>45627</v>
      </c>
      <c r="M16" s="3" t="s">
        <v>20</v>
      </c>
      <c r="N16" s="3" t="s">
        <v>498</v>
      </c>
    </row>
    <row r="17" spans="1:14" ht="60">
      <c r="A17" s="3">
        <v>17</v>
      </c>
      <c r="B17" s="30" t="s">
        <v>115</v>
      </c>
      <c r="C17" s="3" t="s">
        <v>25</v>
      </c>
      <c r="D17" s="3" t="s">
        <v>246</v>
      </c>
      <c r="E17" s="11">
        <v>20</v>
      </c>
      <c r="F17" s="3" t="s">
        <v>33</v>
      </c>
      <c r="G17" s="3" t="s">
        <v>213</v>
      </c>
      <c r="H17" s="5">
        <v>59.400000000000006</v>
      </c>
      <c r="I17" s="5">
        <f t="shared" si="0"/>
        <v>1188</v>
      </c>
      <c r="J17" s="3" t="s">
        <v>20</v>
      </c>
      <c r="K17" s="3" t="s">
        <v>21</v>
      </c>
      <c r="L17" s="4">
        <v>45352</v>
      </c>
      <c r="M17" s="3" t="s">
        <v>20</v>
      </c>
      <c r="N17" s="3" t="s">
        <v>498</v>
      </c>
    </row>
    <row r="18" spans="1:14" ht="60">
      <c r="A18" s="3">
        <v>18</v>
      </c>
      <c r="B18" s="30" t="s">
        <v>512</v>
      </c>
      <c r="C18" s="30" t="s">
        <v>25</v>
      </c>
      <c r="D18" s="30" t="s">
        <v>246</v>
      </c>
      <c r="E18" s="31">
        <v>14</v>
      </c>
      <c r="F18" s="30" t="s">
        <v>33</v>
      </c>
      <c r="G18" s="30" t="s">
        <v>215</v>
      </c>
      <c r="H18" s="34">
        <v>146.66999999999999</v>
      </c>
      <c r="I18" s="5">
        <v>2053.3799999999997</v>
      </c>
      <c r="J18" s="3" t="s">
        <v>20</v>
      </c>
      <c r="K18" s="3" t="s">
        <v>36</v>
      </c>
      <c r="L18" s="4">
        <v>45352</v>
      </c>
      <c r="M18" s="3" t="s">
        <v>20</v>
      </c>
      <c r="N18" s="3" t="s">
        <v>498</v>
      </c>
    </row>
    <row r="19" spans="1:14" ht="60">
      <c r="A19" s="3">
        <v>19</v>
      </c>
      <c r="B19" s="30" t="s">
        <v>513</v>
      </c>
      <c r="C19" s="30" t="s">
        <v>25</v>
      </c>
      <c r="D19" s="30" t="s">
        <v>246</v>
      </c>
      <c r="E19" s="31">
        <v>17</v>
      </c>
      <c r="F19" s="30" t="s">
        <v>33</v>
      </c>
      <c r="G19" s="30" t="s">
        <v>215</v>
      </c>
      <c r="H19" s="34">
        <v>151.66999999999999</v>
      </c>
      <c r="I19" s="5">
        <v>2578.39</v>
      </c>
      <c r="J19" s="3" t="s">
        <v>20</v>
      </c>
      <c r="K19" s="3" t="s">
        <v>36</v>
      </c>
      <c r="L19" s="4">
        <v>45352</v>
      </c>
      <c r="M19" s="3" t="s">
        <v>20</v>
      </c>
      <c r="N19" s="3" t="s">
        <v>498</v>
      </c>
    </row>
    <row r="20" spans="1:14" ht="60">
      <c r="A20" s="3">
        <v>20</v>
      </c>
      <c r="B20" s="30" t="s">
        <v>514</v>
      </c>
      <c r="C20" s="30" t="s">
        <v>25</v>
      </c>
      <c r="D20" s="30" t="s">
        <v>246</v>
      </c>
      <c r="E20" s="31">
        <v>18</v>
      </c>
      <c r="F20" s="30" t="s">
        <v>33</v>
      </c>
      <c r="G20" s="30" t="s">
        <v>215</v>
      </c>
      <c r="H20" s="34">
        <v>260</v>
      </c>
      <c r="I20" s="5">
        <v>4680</v>
      </c>
      <c r="J20" s="3" t="s">
        <v>20</v>
      </c>
      <c r="K20" s="3" t="s">
        <v>36</v>
      </c>
      <c r="L20" s="4">
        <v>45352</v>
      </c>
      <c r="M20" s="3" t="s">
        <v>20</v>
      </c>
      <c r="N20" s="3" t="s">
        <v>498</v>
      </c>
    </row>
    <row r="21" spans="1:14" ht="60">
      <c r="A21" s="3">
        <v>21</v>
      </c>
      <c r="B21" s="30" t="s">
        <v>515</v>
      </c>
      <c r="C21" s="30" t="s">
        <v>25</v>
      </c>
      <c r="D21" s="30" t="s">
        <v>246</v>
      </c>
      <c r="E21" s="31">
        <v>10</v>
      </c>
      <c r="F21" s="30" t="s">
        <v>33</v>
      </c>
      <c r="G21" s="30" t="s">
        <v>215</v>
      </c>
      <c r="H21" s="34">
        <v>210</v>
      </c>
      <c r="I21" s="5">
        <v>2100</v>
      </c>
      <c r="J21" s="3" t="s">
        <v>20</v>
      </c>
      <c r="K21" s="3" t="s">
        <v>36</v>
      </c>
      <c r="L21" s="4">
        <v>45352</v>
      </c>
      <c r="M21" s="3" t="s">
        <v>20</v>
      </c>
      <c r="N21" s="3" t="s">
        <v>498</v>
      </c>
    </row>
    <row r="22" spans="1:14" ht="60">
      <c r="A22" s="3">
        <v>22</v>
      </c>
      <c r="B22" s="30" t="s">
        <v>516</v>
      </c>
      <c r="C22" s="30" t="s">
        <v>25</v>
      </c>
      <c r="D22" s="30" t="s">
        <v>246</v>
      </c>
      <c r="E22" s="31">
        <v>500</v>
      </c>
      <c r="F22" s="30" t="s">
        <v>75</v>
      </c>
      <c r="G22" s="30" t="s">
        <v>215</v>
      </c>
      <c r="H22" s="34">
        <v>3.2</v>
      </c>
      <c r="I22" s="5">
        <v>1600</v>
      </c>
      <c r="J22" s="3" t="s">
        <v>20</v>
      </c>
      <c r="K22" s="3" t="s">
        <v>36</v>
      </c>
      <c r="L22" s="4">
        <v>45352</v>
      </c>
      <c r="M22" s="3" t="s">
        <v>20</v>
      </c>
      <c r="N22" s="3" t="s">
        <v>498</v>
      </c>
    </row>
    <row r="23" spans="1:14" ht="60">
      <c r="A23" s="3">
        <v>23</v>
      </c>
      <c r="B23" s="30" t="s">
        <v>517</v>
      </c>
      <c r="C23" s="30" t="s">
        <v>25</v>
      </c>
      <c r="D23" s="30" t="s">
        <v>246</v>
      </c>
      <c r="E23" s="31">
        <v>500</v>
      </c>
      <c r="F23" s="30" t="s">
        <v>75</v>
      </c>
      <c r="G23" s="30" t="s">
        <v>215</v>
      </c>
      <c r="H23" s="34">
        <v>2.9</v>
      </c>
      <c r="I23" s="5">
        <v>1450</v>
      </c>
      <c r="J23" s="3" t="s">
        <v>20</v>
      </c>
      <c r="K23" s="3" t="s">
        <v>36</v>
      </c>
      <c r="L23" s="4">
        <v>45352</v>
      </c>
      <c r="M23" s="3" t="s">
        <v>20</v>
      </c>
      <c r="N23" s="3" t="s">
        <v>498</v>
      </c>
    </row>
    <row r="24" spans="1:14" ht="60">
      <c r="A24" s="3">
        <v>24</v>
      </c>
      <c r="B24" s="3" t="s">
        <v>518</v>
      </c>
      <c r="C24" s="3" t="s">
        <v>26</v>
      </c>
      <c r="D24" s="3" t="s">
        <v>168</v>
      </c>
      <c r="E24" s="11">
        <v>2</v>
      </c>
      <c r="F24" s="3" t="s">
        <v>33</v>
      </c>
      <c r="G24" s="3" t="s">
        <v>227</v>
      </c>
      <c r="H24" s="5">
        <v>7559.99</v>
      </c>
      <c r="I24" s="5">
        <f t="shared" ref="I24:I59" si="1">E24*H24</f>
        <v>15119.98</v>
      </c>
      <c r="J24" s="3" t="s">
        <v>20</v>
      </c>
      <c r="K24" s="3" t="s">
        <v>21</v>
      </c>
      <c r="L24" s="4">
        <v>45627</v>
      </c>
      <c r="M24" s="3" t="s">
        <v>20</v>
      </c>
      <c r="N24" s="3" t="s">
        <v>498</v>
      </c>
    </row>
    <row r="25" spans="1:14" ht="60">
      <c r="A25" s="3">
        <v>25</v>
      </c>
      <c r="B25" s="30" t="s">
        <v>519</v>
      </c>
      <c r="C25" s="3" t="s">
        <v>34</v>
      </c>
      <c r="D25" s="3" t="s">
        <v>168</v>
      </c>
      <c r="E25" s="11">
        <v>6</v>
      </c>
      <c r="F25" s="3" t="s">
        <v>33</v>
      </c>
      <c r="G25" s="3" t="s">
        <v>209</v>
      </c>
      <c r="H25" s="5">
        <v>1200</v>
      </c>
      <c r="I25" s="5">
        <f t="shared" si="1"/>
        <v>7200</v>
      </c>
      <c r="J25" s="3" t="s">
        <v>20</v>
      </c>
      <c r="K25" s="3" t="s">
        <v>21</v>
      </c>
      <c r="L25" s="4">
        <v>45383</v>
      </c>
      <c r="M25" s="3" t="s">
        <v>20</v>
      </c>
      <c r="N25" s="3" t="s">
        <v>498</v>
      </c>
    </row>
    <row r="26" spans="1:14" ht="60">
      <c r="A26" s="3">
        <v>26</v>
      </c>
      <c r="B26" s="3" t="s">
        <v>88</v>
      </c>
      <c r="C26" s="3" t="s">
        <v>34</v>
      </c>
      <c r="D26" s="3" t="s">
        <v>35</v>
      </c>
      <c r="E26" s="11">
        <v>500</v>
      </c>
      <c r="F26" s="3" t="s">
        <v>89</v>
      </c>
      <c r="G26" s="3" t="s">
        <v>211</v>
      </c>
      <c r="H26" s="5">
        <v>1.1340000000000001</v>
      </c>
      <c r="I26" s="5">
        <f t="shared" si="1"/>
        <v>567.00000000000011</v>
      </c>
      <c r="J26" s="3" t="s">
        <v>20</v>
      </c>
      <c r="K26" s="3" t="s">
        <v>169</v>
      </c>
      <c r="L26" s="4">
        <v>45474</v>
      </c>
      <c r="M26" s="3" t="s">
        <v>20</v>
      </c>
      <c r="N26" s="3" t="s">
        <v>498</v>
      </c>
    </row>
    <row r="27" spans="1:14" ht="60">
      <c r="A27" s="3">
        <v>27</v>
      </c>
      <c r="B27" s="3" t="s">
        <v>90</v>
      </c>
      <c r="C27" s="3" t="s">
        <v>34</v>
      </c>
      <c r="D27" s="3" t="s">
        <v>35</v>
      </c>
      <c r="E27" s="11">
        <v>60</v>
      </c>
      <c r="F27" s="3" t="s">
        <v>52</v>
      </c>
      <c r="G27" s="3" t="s">
        <v>251</v>
      </c>
      <c r="H27" s="5">
        <v>34.56</v>
      </c>
      <c r="I27" s="5">
        <f t="shared" si="1"/>
        <v>2073.6000000000004</v>
      </c>
      <c r="J27" s="3" t="s">
        <v>20</v>
      </c>
      <c r="K27" s="3" t="s">
        <v>169</v>
      </c>
      <c r="L27" s="4">
        <v>45383</v>
      </c>
      <c r="M27" s="3" t="s">
        <v>20</v>
      </c>
      <c r="N27" s="3" t="s">
        <v>498</v>
      </c>
    </row>
    <row r="28" spans="1:14" ht="60">
      <c r="A28" s="3">
        <v>28</v>
      </c>
      <c r="B28" s="3" t="s">
        <v>93</v>
      </c>
      <c r="C28" s="3" t="s">
        <v>34</v>
      </c>
      <c r="D28" s="3" t="s">
        <v>35</v>
      </c>
      <c r="E28" s="11">
        <v>6</v>
      </c>
      <c r="F28" s="3" t="s">
        <v>33</v>
      </c>
      <c r="G28" s="3" t="s">
        <v>251</v>
      </c>
      <c r="H28" s="5">
        <v>32.886000000000003</v>
      </c>
      <c r="I28" s="5">
        <f t="shared" si="1"/>
        <v>197.31600000000003</v>
      </c>
      <c r="J28" s="3" t="s">
        <v>20</v>
      </c>
      <c r="K28" s="3" t="s">
        <v>169</v>
      </c>
      <c r="L28" s="4">
        <v>45383</v>
      </c>
      <c r="M28" s="3" t="s">
        <v>20</v>
      </c>
      <c r="N28" s="3" t="s">
        <v>498</v>
      </c>
    </row>
    <row r="29" spans="1:14" ht="60">
      <c r="A29" s="3">
        <v>29</v>
      </c>
      <c r="B29" s="3" t="s">
        <v>77</v>
      </c>
      <c r="C29" s="3" t="s">
        <v>34</v>
      </c>
      <c r="D29" s="3" t="s">
        <v>35</v>
      </c>
      <c r="E29" s="11">
        <v>5</v>
      </c>
      <c r="F29" s="3" t="s">
        <v>57</v>
      </c>
      <c r="G29" s="3" t="s">
        <v>251</v>
      </c>
      <c r="H29" s="5">
        <v>35.64</v>
      </c>
      <c r="I29" s="5">
        <f t="shared" si="1"/>
        <v>178.2</v>
      </c>
      <c r="J29" s="3" t="s">
        <v>20</v>
      </c>
      <c r="K29" s="3" t="s">
        <v>169</v>
      </c>
      <c r="L29" s="4">
        <v>45383</v>
      </c>
      <c r="M29" s="3" t="s">
        <v>20</v>
      </c>
      <c r="N29" s="3" t="s">
        <v>498</v>
      </c>
    </row>
    <row r="30" spans="1:14" ht="60">
      <c r="A30" s="3">
        <v>30</v>
      </c>
      <c r="B30" s="3" t="s">
        <v>53</v>
      </c>
      <c r="C30" s="3" t="s">
        <v>34</v>
      </c>
      <c r="D30" s="3" t="s">
        <v>35</v>
      </c>
      <c r="E30" s="11">
        <v>100</v>
      </c>
      <c r="F30" s="3" t="s">
        <v>33</v>
      </c>
      <c r="G30" s="3" t="s">
        <v>251</v>
      </c>
      <c r="H30" s="5">
        <v>0.90720000000000001</v>
      </c>
      <c r="I30" s="5">
        <f t="shared" si="1"/>
        <v>90.72</v>
      </c>
      <c r="J30" s="3" t="s">
        <v>20</v>
      </c>
      <c r="K30" s="3" t="s">
        <v>169</v>
      </c>
      <c r="L30" s="4">
        <v>45383</v>
      </c>
      <c r="M30" s="3" t="s">
        <v>20</v>
      </c>
      <c r="N30" s="3" t="s">
        <v>498</v>
      </c>
    </row>
    <row r="31" spans="1:14" ht="60">
      <c r="A31" s="3">
        <v>31</v>
      </c>
      <c r="B31" s="3" t="s">
        <v>61</v>
      </c>
      <c r="C31" s="3" t="s">
        <v>34</v>
      </c>
      <c r="D31" s="3" t="s">
        <v>35</v>
      </c>
      <c r="E31" s="11">
        <v>50</v>
      </c>
      <c r="F31" s="3" t="s">
        <v>52</v>
      </c>
      <c r="G31" s="3" t="s">
        <v>251</v>
      </c>
      <c r="H31" s="5">
        <v>0.6</v>
      </c>
      <c r="I31" s="5">
        <f t="shared" si="1"/>
        <v>30</v>
      </c>
      <c r="J31" s="3" t="s">
        <v>20</v>
      </c>
      <c r="K31" s="3" t="s">
        <v>169</v>
      </c>
      <c r="L31" s="4">
        <v>45383</v>
      </c>
      <c r="M31" s="3" t="s">
        <v>20</v>
      </c>
      <c r="N31" s="3" t="s">
        <v>498</v>
      </c>
    </row>
    <row r="32" spans="1:14" ht="60">
      <c r="A32" s="3">
        <v>32</v>
      </c>
      <c r="B32" s="3" t="s">
        <v>78</v>
      </c>
      <c r="C32" s="3" t="s">
        <v>34</v>
      </c>
      <c r="D32" s="3" t="s">
        <v>35</v>
      </c>
      <c r="E32" s="11">
        <v>6</v>
      </c>
      <c r="F32" s="3" t="s">
        <v>57</v>
      </c>
      <c r="G32" s="3" t="s">
        <v>251</v>
      </c>
      <c r="H32" s="5">
        <v>18.144000000000002</v>
      </c>
      <c r="I32" s="5">
        <f t="shared" si="1"/>
        <v>108.864</v>
      </c>
      <c r="J32" s="3" t="s">
        <v>20</v>
      </c>
      <c r="K32" s="3" t="s">
        <v>169</v>
      </c>
      <c r="L32" s="4">
        <v>45383</v>
      </c>
      <c r="M32" s="3" t="s">
        <v>20</v>
      </c>
      <c r="N32" s="3" t="s">
        <v>498</v>
      </c>
    </row>
    <row r="33" spans="1:14" ht="60">
      <c r="A33" s="3">
        <v>33</v>
      </c>
      <c r="B33" s="3" t="s">
        <v>80</v>
      </c>
      <c r="C33" s="3" t="s">
        <v>34</v>
      </c>
      <c r="D33" s="3" t="s">
        <v>35</v>
      </c>
      <c r="E33" s="11">
        <v>5</v>
      </c>
      <c r="F33" s="3" t="s">
        <v>33</v>
      </c>
      <c r="G33" s="3" t="s">
        <v>251</v>
      </c>
      <c r="H33" s="5">
        <v>13.608000000000001</v>
      </c>
      <c r="I33" s="5">
        <f t="shared" si="1"/>
        <v>68.040000000000006</v>
      </c>
      <c r="J33" s="3" t="s">
        <v>20</v>
      </c>
      <c r="K33" s="3" t="s">
        <v>169</v>
      </c>
      <c r="L33" s="4">
        <v>45383</v>
      </c>
      <c r="M33" s="3" t="s">
        <v>20</v>
      </c>
      <c r="N33" s="3" t="s">
        <v>498</v>
      </c>
    </row>
    <row r="34" spans="1:14" ht="60">
      <c r="A34" s="3">
        <v>34</v>
      </c>
      <c r="B34" s="3" t="s">
        <v>71</v>
      </c>
      <c r="C34" s="3" t="s">
        <v>34</v>
      </c>
      <c r="D34" s="3" t="s">
        <v>35</v>
      </c>
      <c r="E34" s="11">
        <v>6</v>
      </c>
      <c r="F34" s="3" t="s">
        <v>33</v>
      </c>
      <c r="G34" s="3" t="s">
        <v>251</v>
      </c>
      <c r="H34" s="5">
        <v>6.8579999999999997</v>
      </c>
      <c r="I34" s="5">
        <f t="shared" si="1"/>
        <v>41.147999999999996</v>
      </c>
      <c r="J34" s="3" t="s">
        <v>20</v>
      </c>
      <c r="K34" s="3" t="s">
        <v>169</v>
      </c>
      <c r="L34" s="4">
        <v>45383</v>
      </c>
      <c r="M34" s="3" t="s">
        <v>20</v>
      </c>
      <c r="N34" s="3" t="s">
        <v>498</v>
      </c>
    </row>
    <row r="35" spans="1:14" ht="60">
      <c r="A35" s="3">
        <v>35</v>
      </c>
      <c r="B35" s="3" t="s">
        <v>51</v>
      </c>
      <c r="C35" s="3" t="s">
        <v>34</v>
      </c>
      <c r="D35" s="3" t="s">
        <v>35</v>
      </c>
      <c r="E35" s="11">
        <v>1</v>
      </c>
      <c r="F35" s="3" t="s">
        <v>52</v>
      </c>
      <c r="G35" s="3" t="s">
        <v>251</v>
      </c>
      <c r="H35" s="5">
        <v>40.823999999999998</v>
      </c>
      <c r="I35" s="5">
        <f t="shared" si="1"/>
        <v>40.823999999999998</v>
      </c>
      <c r="J35" s="3" t="s">
        <v>20</v>
      </c>
      <c r="K35" s="3" t="s">
        <v>169</v>
      </c>
      <c r="L35" s="4">
        <v>45383</v>
      </c>
      <c r="M35" s="3" t="s">
        <v>20</v>
      </c>
      <c r="N35" s="3" t="s">
        <v>498</v>
      </c>
    </row>
    <row r="36" spans="1:14" ht="60">
      <c r="A36" s="3">
        <v>36</v>
      </c>
      <c r="B36" s="3" t="s">
        <v>98</v>
      </c>
      <c r="C36" s="3" t="s">
        <v>34</v>
      </c>
      <c r="D36" s="3" t="s">
        <v>35</v>
      </c>
      <c r="E36" s="11">
        <v>2</v>
      </c>
      <c r="F36" s="3" t="s">
        <v>33</v>
      </c>
      <c r="G36" s="3" t="s">
        <v>251</v>
      </c>
      <c r="H36" s="5">
        <v>13.155999999999999</v>
      </c>
      <c r="I36" s="5">
        <f t="shared" si="1"/>
        <v>26.311999999999998</v>
      </c>
      <c r="J36" s="3" t="s">
        <v>20</v>
      </c>
      <c r="K36" s="3" t="s">
        <v>169</v>
      </c>
      <c r="L36" s="4">
        <v>45383</v>
      </c>
      <c r="M36" s="3" t="s">
        <v>20</v>
      </c>
      <c r="N36" s="3" t="s">
        <v>498</v>
      </c>
    </row>
    <row r="37" spans="1:14" ht="60">
      <c r="A37" s="3">
        <v>37</v>
      </c>
      <c r="B37" s="3" t="s">
        <v>292</v>
      </c>
      <c r="C37" s="3" t="s">
        <v>34</v>
      </c>
      <c r="D37" s="3" t="s">
        <v>35</v>
      </c>
      <c r="E37" s="11">
        <v>2</v>
      </c>
      <c r="F37" s="3" t="s">
        <v>57</v>
      </c>
      <c r="G37" s="3" t="s">
        <v>251</v>
      </c>
      <c r="H37" s="5">
        <v>17.010000000000002</v>
      </c>
      <c r="I37" s="5">
        <f t="shared" si="1"/>
        <v>34.020000000000003</v>
      </c>
      <c r="J37" s="3" t="s">
        <v>20</v>
      </c>
      <c r="K37" s="3" t="s">
        <v>169</v>
      </c>
      <c r="L37" s="4">
        <v>45383</v>
      </c>
      <c r="M37" s="3" t="s">
        <v>20</v>
      </c>
      <c r="N37" s="3" t="s">
        <v>498</v>
      </c>
    </row>
    <row r="38" spans="1:14" ht="60">
      <c r="A38" s="3">
        <v>38</v>
      </c>
      <c r="B38" s="3" t="s">
        <v>70</v>
      </c>
      <c r="C38" s="3" t="s">
        <v>34</v>
      </c>
      <c r="D38" s="3" t="s">
        <v>35</v>
      </c>
      <c r="E38" s="11">
        <v>6</v>
      </c>
      <c r="F38" s="3" t="s">
        <v>33</v>
      </c>
      <c r="G38" s="3" t="s">
        <v>251</v>
      </c>
      <c r="H38" s="5">
        <v>3.2076000000000002</v>
      </c>
      <c r="I38" s="5">
        <f t="shared" si="1"/>
        <v>19.245600000000003</v>
      </c>
      <c r="J38" s="3" t="s">
        <v>20</v>
      </c>
      <c r="K38" s="3" t="s">
        <v>169</v>
      </c>
      <c r="L38" s="4">
        <v>45383</v>
      </c>
      <c r="M38" s="3" t="s">
        <v>20</v>
      </c>
      <c r="N38" s="3" t="s">
        <v>498</v>
      </c>
    </row>
    <row r="39" spans="1:14" ht="60">
      <c r="A39" s="3">
        <v>39</v>
      </c>
      <c r="B39" s="3" t="s">
        <v>67</v>
      </c>
      <c r="C39" s="3" t="s">
        <v>34</v>
      </c>
      <c r="D39" s="3" t="s">
        <v>35</v>
      </c>
      <c r="E39" s="11">
        <v>6</v>
      </c>
      <c r="F39" s="3" t="s">
        <v>33</v>
      </c>
      <c r="G39" s="3" t="s">
        <v>251</v>
      </c>
      <c r="H39" s="5">
        <v>3.1752000000000002</v>
      </c>
      <c r="I39" s="5">
        <f t="shared" si="1"/>
        <v>19.051200000000001</v>
      </c>
      <c r="J39" s="3" t="s">
        <v>20</v>
      </c>
      <c r="K39" s="3" t="s">
        <v>169</v>
      </c>
      <c r="L39" s="4">
        <v>45383</v>
      </c>
      <c r="M39" s="3" t="s">
        <v>20</v>
      </c>
      <c r="N39" s="3" t="s">
        <v>498</v>
      </c>
    </row>
    <row r="40" spans="1:14" ht="60">
      <c r="A40" s="3">
        <v>40</v>
      </c>
      <c r="B40" s="3" t="s">
        <v>56</v>
      </c>
      <c r="C40" s="3" t="s">
        <v>34</v>
      </c>
      <c r="D40" s="3" t="s">
        <v>35</v>
      </c>
      <c r="E40" s="11">
        <v>3</v>
      </c>
      <c r="F40" s="3" t="s">
        <v>57</v>
      </c>
      <c r="G40" s="3" t="s">
        <v>251</v>
      </c>
      <c r="H40" s="5">
        <v>2.2680000000000002</v>
      </c>
      <c r="I40" s="5">
        <f t="shared" si="1"/>
        <v>6.8040000000000003</v>
      </c>
      <c r="J40" s="3" t="s">
        <v>20</v>
      </c>
      <c r="K40" s="3" t="s">
        <v>169</v>
      </c>
      <c r="L40" s="4">
        <v>45383</v>
      </c>
      <c r="M40" s="3" t="s">
        <v>20</v>
      </c>
      <c r="N40" s="3" t="s">
        <v>498</v>
      </c>
    </row>
    <row r="41" spans="1:14" ht="60">
      <c r="A41" s="3">
        <v>41</v>
      </c>
      <c r="B41" s="3" t="s">
        <v>294</v>
      </c>
      <c r="C41" s="3" t="s">
        <v>34</v>
      </c>
      <c r="D41" s="3" t="s">
        <v>35</v>
      </c>
      <c r="E41" s="11">
        <v>5</v>
      </c>
      <c r="F41" s="3" t="s">
        <v>33</v>
      </c>
      <c r="G41" s="3" t="s">
        <v>251</v>
      </c>
      <c r="H41" s="5">
        <v>2.7216</v>
      </c>
      <c r="I41" s="5">
        <f t="shared" si="1"/>
        <v>13.608000000000001</v>
      </c>
      <c r="J41" s="3" t="s">
        <v>20</v>
      </c>
      <c r="K41" s="3" t="s">
        <v>169</v>
      </c>
      <c r="L41" s="4">
        <v>45383</v>
      </c>
      <c r="M41" s="3" t="s">
        <v>20</v>
      </c>
      <c r="N41" s="3" t="s">
        <v>498</v>
      </c>
    </row>
    <row r="42" spans="1:14" ht="60">
      <c r="A42" s="3">
        <v>42</v>
      </c>
      <c r="B42" s="3" t="s">
        <v>72</v>
      </c>
      <c r="C42" s="3" t="s">
        <v>34</v>
      </c>
      <c r="D42" s="3" t="s">
        <v>35</v>
      </c>
      <c r="E42" s="11">
        <v>2</v>
      </c>
      <c r="F42" s="3" t="s">
        <v>33</v>
      </c>
      <c r="G42" s="3" t="s">
        <v>251</v>
      </c>
      <c r="H42" s="5">
        <v>6.6420000000000012</v>
      </c>
      <c r="I42" s="5">
        <f t="shared" si="1"/>
        <v>13.284000000000002</v>
      </c>
      <c r="J42" s="3" t="s">
        <v>20</v>
      </c>
      <c r="K42" s="3" t="s">
        <v>169</v>
      </c>
      <c r="L42" s="4">
        <v>45383</v>
      </c>
      <c r="M42" s="3" t="s">
        <v>20</v>
      </c>
      <c r="N42" s="3" t="s">
        <v>498</v>
      </c>
    </row>
    <row r="43" spans="1:14" ht="60">
      <c r="A43" s="3">
        <v>43</v>
      </c>
      <c r="B43" s="3" t="s">
        <v>280</v>
      </c>
      <c r="C43" s="3" t="s">
        <v>34</v>
      </c>
      <c r="D43" s="3" t="s">
        <v>35</v>
      </c>
      <c r="E43" s="11">
        <v>4</v>
      </c>
      <c r="F43" s="3" t="s">
        <v>33</v>
      </c>
      <c r="G43" s="3" t="s">
        <v>251</v>
      </c>
      <c r="H43" s="5">
        <v>3.1752000000000002</v>
      </c>
      <c r="I43" s="5">
        <f t="shared" si="1"/>
        <v>12.700800000000001</v>
      </c>
      <c r="J43" s="3" t="s">
        <v>20</v>
      </c>
      <c r="K43" s="3" t="s">
        <v>169</v>
      </c>
      <c r="L43" s="4">
        <v>45383</v>
      </c>
      <c r="M43" s="3" t="s">
        <v>20</v>
      </c>
      <c r="N43" s="3" t="s">
        <v>498</v>
      </c>
    </row>
    <row r="44" spans="1:14" ht="60">
      <c r="A44" s="1">
        <v>42</v>
      </c>
      <c r="B44" s="3" t="s">
        <v>94</v>
      </c>
      <c r="C44" s="3" t="s">
        <v>34</v>
      </c>
      <c r="D44" s="3" t="s">
        <v>35</v>
      </c>
      <c r="E44" s="11">
        <v>6</v>
      </c>
      <c r="F44" s="3" t="s">
        <v>33</v>
      </c>
      <c r="G44" s="3" t="s">
        <v>251</v>
      </c>
      <c r="H44" s="5">
        <v>2.016</v>
      </c>
      <c r="I44" s="5">
        <f t="shared" si="1"/>
        <v>12.096</v>
      </c>
      <c r="J44" s="3" t="s">
        <v>20</v>
      </c>
      <c r="K44" s="3" t="s">
        <v>169</v>
      </c>
      <c r="L44" s="4">
        <v>45383</v>
      </c>
      <c r="M44" s="3" t="s">
        <v>20</v>
      </c>
      <c r="N44" s="3" t="s">
        <v>498</v>
      </c>
    </row>
    <row r="45" spans="1:14" ht="60">
      <c r="A45" s="1">
        <v>43</v>
      </c>
      <c r="B45" s="3" t="s">
        <v>281</v>
      </c>
      <c r="C45" s="3" t="s">
        <v>34</v>
      </c>
      <c r="D45" s="3" t="s">
        <v>35</v>
      </c>
      <c r="E45" s="11">
        <v>2</v>
      </c>
      <c r="F45" s="3" t="s">
        <v>33</v>
      </c>
      <c r="G45" s="3" t="s">
        <v>251</v>
      </c>
      <c r="H45" s="5">
        <v>5.8500000000000005</v>
      </c>
      <c r="I45" s="5">
        <f t="shared" si="1"/>
        <v>11.700000000000001</v>
      </c>
      <c r="J45" s="3" t="s">
        <v>20</v>
      </c>
      <c r="K45" s="3" t="s">
        <v>169</v>
      </c>
      <c r="L45" s="4">
        <v>45383</v>
      </c>
      <c r="M45" s="3" t="s">
        <v>20</v>
      </c>
      <c r="N45" s="3" t="s">
        <v>498</v>
      </c>
    </row>
    <row r="46" spans="1:14" ht="60">
      <c r="A46" s="1">
        <v>44</v>
      </c>
      <c r="B46" s="3" t="s">
        <v>54</v>
      </c>
      <c r="C46" s="3" t="s">
        <v>34</v>
      </c>
      <c r="D46" s="3" t="s">
        <v>35</v>
      </c>
      <c r="E46" s="11">
        <v>10</v>
      </c>
      <c r="F46" s="3" t="s">
        <v>33</v>
      </c>
      <c r="G46" s="3" t="s">
        <v>251</v>
      </c>
      <c r="H46" s="5">
        <v>0.90720000000000001</v>
      </c>
      <c r="I46" s="5">
        <f t="shared" si="1"/>
        <v>9.0719999999999992</v>
      </c>
      <c r="J46" s="3" t="s">
        <v>20</v>
      </c>
      <c r="K46" s="3" t="s">
        <v>169</v>
      </c>
      <c r="L46" s="4">
        <v>45383</v>
      </c>
      <c r="M46" s="3" t="s">
        <v>20</v>
      </c>
      <c r="N46" s="3" t="s">
        <v>498</v>
      </c>
    </row>
    <row r="47" spans="1:14" ht="60">
      <c r="A47" s="3">
        <v>45</v>
      </c>
      <c r="B47" s="3" t="s">
        <v>55</v>
      </c>
      <c r="C47" s="3" t="s">
        <v>34</v>
      </c>
      <c r="D47" s="3" t="s">
        <v>35</v>
      </c>
      <c r="E47" s="11">
        <v>6</v>
      </c>
      <c r="F47" s="3" t="s">
        <v>33</v>
      </c>
      <c r="G47" s="3" t="s">
        <v>251</v>
      </c>
      <c r="H47" s="5">
        <v>2.7216</v>
      </c>
      <c r="I47" s="5">
        <f t="shared" si="1"/>
        <v>16.329599999999999</v>
      </c>
      <c r="J47" s="3" t="s">
        <v>20</v>
      </c>
      <c r="K47" s="3" t="s">
        <v>169</v>
      </c>
      <c r="L47" s="4">
        <v>45383</v>
      </c>
      <c r="M47" s="3" t="s">
        <v>20</v>
      </c>
      <c r="N47" s="3" t="s">
        <v>498</v>
      </c>
    </row>
    <row r="48" spans="1:14" ht="60">
      <c r="A48" s="3">
        <v>46</v>
      </c>
      <c r="B48" s="30" t="s">
        <v>520</v>
      </c>
      <c r="C48" s="3" t="s">
        <v>34</v>
      </c>
      <c r="D48" s="3" t="s">
        <v>35</v>
      </c>
      <c r="E48" s="11">
        <v>4</v>
      </c>
      <c r="F48" s="3" t="s">
        <v>33</v>
      </c>
      <c r="G48" s="3" t="s">
        <v>251</v>
      </c>
      <c r="H48" s="5">
        <v>15</v>
      </c>
      <c r="I48" s="5">
        <f t="shared" si="1"/>
        <v>60</v>
      </c>
      <c r="J48" s="3" t="s">
        <v>20</v>
      </c>
      <c r="K48" s="3" t="s">
        <v>169</v>
      </c>
      <c r="L48" s="4">
        <v>45383</v>
      </c>
      <c r="M48" s="3" t="s">
        <v>20</v>
      </c>
      <c r="N48" s="3" t="s">
        <v>498</v>
      </c>
    </row>
    <row r="49" spans="1:14" ht="60">
      <c r="A49" s="3">
        <v>47</v>
      </c>
      <c r="B49" s="30" t="s">
        <v>521</v>
      </c>
      <c r="C49" s="3" t="s">
        <v>34</v>
      </c>
      <c r="D49" s="3" t="s">
        <v>35</v>
      </c>
      <c r="E49" s="11">
        <v>4</v>
      </c>
      <c r="F49" s="3" t="s">
        <v>33</v>
      </c>
      <c r="G49" s="3" t="s">
        <v>251</v>
      </c>
      <c r="H49" s="5">
        <v>15</v>
      </c>
      <c r="I49" s="5">
        <f t="shared" si="1"/>
        <v>60</v>
      </c>
      <c r="J49" s="3" t="s">
        <v>20</v>
      </c>
      <c r="K49" s="3" t="s">
        <v>169</v>
      </c>
      <c r="L49" s="4">
        <v>45383</v>
      </c>
      <c r="M49" s="3" t="s">
        <v>20</v>
      </c>
      <c r="N49" s="3" t="s">
        <v>498</v>
      </c>
    </row>
    <row r="50" spans="1:14" ht="60">
      <c r="A50" s="3">
        <v>48</v>
      </c>
      <c r="B50" s="3" t="s">
        <v>48</v>
      </c>
      <c r="C50" s="3" t="s">
        <v>34</v>
      </c>
      <c r="D50" s="3" t="s">
        <v>35</v>
      </c>
      <c r="E50" s="11">
        <v>2</v>
      </c>
      <c r="F50" s="3" t="s">
        <v>33</v>
      </c>
      <c r="G50" s="3" t="s">
        <v>251</v>
      </c>
      <c r="H50" s="5">
        <v>0.33480000000000004</v>
      </c>
      <c r="I50" s="5">
        <f t="shared" si="1"/>
        <v>0.66960000000000008</v>
      </c>
      <c r="J50" s="3" t="s">
        <v>20</v>
      </c>
      <c r="K50" s="3" t="s">
        <v>169</v>
      </c>
      <c r="L50" s="4">
        <v>45383</v>
      </c>
      <c r="M50" s="3" t="s">
        <v>20</v>
      </c>
      <c r="N50" s="3" t="s">
        <v>498</v>
      </c>
    </row>
    <row r="51" spans="1:14" ht="60">
      <c r="A51" s="3">
        <v>49</v>
      </c>
      <c r="B51" s="3" t="s">
        <v>91</v>
      </c>
      <c r="C51" s="3" t="s">
        <v>34</v>
      </c>
      <c r="D51" s="3" t="s">
        <v>35</v>
      </c>
      <c r="E51" s="11">
        <v>50</v>
      </c>
      <c r="F51" s="3" t="s">
        <v>52</v>
      </c>
      <c r="G51" s="3" t="s">
        <v>249</v>
      </c>
      <c r="H51" s="5">
        <v>11.232000000000001</v>
      </c>
      <c r="I51" s="5">
        <f t="shared" si="1"/>
        <v>561.6</v>
      </c>
      <c r="J51" s="3" t="s">
        <v>20</v>
      </c>
      <c r="K51" s="3" t="s">
        <v>36</v>
      </c>
      <c r="L51" s="4">
        <v>45474</v>
      </c>
      <c r="M51" s="3" t="s">
        <v>20</v>
      </c>
      <c r="N51" s="3" t="s">
        <v>498</v>
      </c>
    </row>
    <row r="52" spans="1:14" ht="60">
      <c r="A52" s="3">
        <v>50</v>
      </c>
      <c r="B52" s="3" t="s">
        <v>46</v>
      </c>
      <c r="C52" s="3" t="s">
        <v>34</v>
      </c>
      <c r="D52" s="3" t="s">
        <v>35</v>
      </c>
      <c r="E52" s="11">
        <v>6</v>
      </c>
      <c r="F52" s="3" t="s">
        <v>58</v>
      </c>
      <c r="G52" s="3" t="s">
        <v>249</v>
      </c>
      <c r="H52" s="5">
        <v>9.395999999999999</v>
      </c>
      <c r="I52" s="5">
        <f t="shared" si="1"/>
        <v>56.375999999999991</v>
      </c>
      <c r="J52" s="3" t="s">
        <v>20</v>
      </c>
      <c r="K52" s="3" t="s">
        <v>36</v>
      </c>
      <c r="L52" s="4">
        <v>45474</v>
      </c>
      <c r="M52" s="3" t="s">
        <v>20</v>
      </c>
      <c r="N52" s="3" t="s">
        <v>498</v>
      </c>
    </row>
    <row r="53" spans="1:14" ht="60">
      <c r="A53" s="3">
        <v>51</v>
      </c>
      <c r="B53" s="3" t="s">
        <v>282</v>
      </c>
      <c r="C53" s="3" t="s">
        <v>34</v>
      </c>
      <c r="D53" s="3" t="s">
        <v>35</v>
      </c>
      <c r="E53" s="11">
        <v>2</v>
      </c>
      <c r="F53" s="3" t="s">
        <v>60</v>
      </c>
      <c r="G53" s="3" t="s">
        <v>249</v>
      </c>
      <c r="H53" s="5">
        <v>43.988399999999999</v>
      </c>
      <c r="I53" s="5">
        <f t="shared" si="1"/>
        <v>87.976799999999997</v>
      </c>
      <c r="J53" s="3" t="s">
        <v>20</v>
      </c>
      <c r="K53" s="3" t="s">
        <v>36</v>
      </c>
      <c r="L53" s="4">
        <v>45474</v>
      </c>
      <c r="M53" s="3" t="s">
        <v>20</v>
      </c>
      <c r="N53" s="3" t="s">
        <v>498</v>
      </c>
    </row>
    <row r="54" spans="1:14" ht="60">
      <c r="A54" s="3">
        <v>52</v>
      </c>
      <c r="B54" s="3" t="s">
        <v>283</v>
      </c>
      <c r="C54" s="3" t="s">
        <v>34</v>
      </c>
      <c r="D54" s="3" t="s">
        <v>35</v>
      </c>
      <c r="E54" s="11">
        <v>12</v>
      </c>
      <c r="F54" s="3" t="s">
        <v>33</v>
      </c>
      <c r="G54" s="3" t="s">
        <v>249</v>
      </c>
      <c r="H54" s="5">
        <v>6.8040000000000003</v>
      </c>
      <c r="I54" s="5">
        <f t="shared" si="1"/>
        <v>81.647999999999996</v>
      </c>
      <c r="J54" s="3" t="s">
        <v>20</v>
      </c>
      <c r="K54" s="3" t="s">
        <v>36</v>
      </c>
      <c r="L54" s="4">
        <v>45474</v>
      </c>
      <c r="M54" s="3" t="s">
        <v>20</v>
      </c>
      <c r="N54" s="3" t="s">
        <v>498</v>
      </c>
    </row>
    <row r="55" spans="1:14" ht="60">
      <c r="A55" s="3">
        <v>53</v>
      </c>
      <c r="B55" s="3" t="s">
        <v>284</v>
      </c>
      <c r="C55" s="3" t="s">
        <v>34</v>
      </c>
      <c r="D55" s="3" t="s">
        <v>35</v>
      </c>
      <c r="E55" s="11">
        <v>20</v>
      </c>
      <c r="F55" s="3" t="s">
        <v>59</v>
      </c>
      <c r="G55" s="3" t="s">
        <v>249</v>
      </c>
      <c r="H55" s="5">
        <v>1.8144</v>
      </c>
      <c r="I55" s="5">
        <f t="shared" si="1"/>
        <v>36.287999999999997</v>
      </c>
      <c r="J55" s="3" t="s">
        <v>20</v>
      </c>
      <c r="K55" s="3" t="s">
        <v>36</v>
      </c>
      <c r="L55" s="4">
        <v>45474</v>
      </c>
      <c r="M55" s="3" t="s">
        <v>20</v>
      </c>
      <c r="N55" s="3" t="s">
        <v>498</v>
      </c>
    </row>
    <row r="56" spans="1:14" ht="60">
      <c r="A56" s="3">
        <v>54</v>
      </c>
      <c r="B56" s="3" t="s">
        <v>43</v>
      </c>
      <c r="C56" s="3" t="s">
        <v>34</v>
      </c>
      <c r="D56" s="3" t="s">
        <v>35</v>
      </c>
      <c r="E56" s="11">
        <v>20</v>
      </c>
      <c r="F56" s="3" t="s">
        <v>58</v>
      </c>
      <c r="G56" s="3" t="s">
        <v>249</v>
      </c>
      <c r="H56" s="5">
        <v>2.2248000000000001</v>
      </c>
      <c r="I56" s="5">
        <f t="shared" si="1"/>
        <v>44.496000000000002</v>
      </c>
      <c r="J56" s="3" t="s">
        <v>20</v>
      </c>
      <c r="K56" s="3" t="s">
        <v>36</v>
      </c>
      <c r="L56" s="4">
        <v>45474</v>
      </c>
      <c r="M56" s="3" t="s">
        <v>20</v>
      </c>
      <c r="N56" s="3" t="s">
        <v>498</v>
      </c>
    </row>
    <row r="57" spans="1:14" ht="60">
      <c r="A57" s="3">
        <v>55</v>
      </c>
      <c r="B57" s="3" t="s">
        <v>92</v>
      </c>
      <c r="C57" s="3" t="s">
        <v>34</v>
      </c>
      <c r="D57" s="3" t="s">
        <v>35</v>
      </c>
      <c r="E57" s="11">
        <v>2</v>
      </c>
      <c r="F57" s="3" t="s">
        <v>52</v>
      </c>
      <c r="G57" s="3" t="s">
        <v>249</v>
      </c>
      <c r="H57" s="5">
        <v>11.83</v>
      </c>
      <c r="I57" s="5">
        <f t="shared" si="1"/>
        <v>23.66</v>
      </c>
      <c r="J57" s="3" t="s">
        <v>20</v>
      </c>
      <c r="K57" s="3" t="s">
        <v>36</v>
      </c>
      <c r="L57" s="4">
        <v>45474</v>
      </c>
      <c r="M57" s="3" t="s">
        <v>20</v>
      </c>
      <c r="N57" s="3" t="s">
        <v>498</v>
      </c>
    </row>
    <row r="58" spans="1:14" ht="60">
      <c r="A58" s="3">
        <v>56</v>
      </c>
      <c r="B58" s="3" t="s">
        <v>108</v>
      </c>
      <c r="C58" s="3" t="s">
        <v>34</v>
      </c>
      <c r="D58" s="3" t="s">
        <v>35</v>
      </c>
      <c r="E58" s="11">
        <v>12</v>
      </c>
      <c r="F58" s="3" t="s">
        <v>105</v>
      </c>
      <c r="G58" s="3" t="s">
        <v>249</v>
      </c>
      <c r="H58" s="5">
        <v>29.7972</v>
      </c>
      <c r="I58" s="5">
        <f>E58*H58</f>
        <v>357.56639999999999</v>
      </c>
      <c r="J58" s="3" t="s">
        <v>20</v>
      </c>
      <c r="K58" s="3" t="s">
        <v>36</v>
      </c>
      <c r="L58" s="4">
        <v>45474</v>
      </c>
      <c r="M58" s="3" t="s">
        <v>20</v>
      </c>
      <c r="N58" s="3" t="s">
        <v>498</v>
      </c>
    </row>
    <row r="59" spans="1:14" ht="60">
      <c r="A59" s="3">
        <v>57</v>
      </c>
      <c r="B59" s="3" t="s">
        <v>290</v>
      </c>
      <c r="C59" s="3" t="s">
        <v>34</v>
      </c>
      <c r="D59" s="3" t="s">
        <v>35</v>
      </c>
      <c r="E59" s="11">
        <v>6</v>
      </c>
      <c r="F59" s="3" t="s">
        <v>59</v>
      </c>
      <c r="G59" s="3" t="s">
        <v>249</v>
      </c>
      <c r="H59" s="5">
        <v>2.5920000000000001</v>
      </c>
      <c r="I59" s="5">
        <f t="shared" si="1"/>
        <v>15.552</v>
      </c>
      <c r="J59" s="3" t="s">
        <v>20</v>
      </c>
      <c r="K59" s="3" t="s">
        <v>36</v>
      </c>
      <c r="L59" s="4">
        <v>45474</v>
      </c>
      <c r="M59" s="3" t="s">
        <v>20</v>
      </c>
      <c r="N59" s="3" t="s">
        <v>498</v>
      </c>
    </row>
  </sheetData>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EAEDB-D2D3-4D7D-8351-B88974AF1B87}">
  <dimension ref="A1:M223"/>
  <sheetViews>
    <sheetView workbookViewId="0">
      <selection activeCell="I22" sqref="I22"/>
    </sheetView>
  </sheetViews>
  <sheetFormatPr defaultRowHeight="15"/>
  <cols>
    <col min="1" max="1" width="42.28515625" customWidth="1"/>
    <col min="7" max="7" width="13.85546875" customWidth="1"/>
    <col min="8" max="8" width="15.7109375" customWidth="1"/>
    <col min="11" max="11" width="10.7109375" bestFit="1" customWidth="1"/>
  </cols>
  <sheetData>
    <row r="1" spans="1:13" ht="75">
      <c r="A1" s="2" t="s">
        <v>9</v>
      </c>
      <c r="B1" s="2" t="s">
        <v>10</v>
      </c>
      <c r="C1" s="2" t="s">
        <v>1</v>
      </c>
      <c r="D1" s="2" t="s">
        <v>11</v>
      </c>
      <c r="E1" s="2" t="s">
        <v>8</v>
      </c>
      <c r="F1" s="2" t="s">
        <v>2</v>
      </c>
      <c r="G1" s="2" t="s">
        <v>15</v>
      </c>
      <c r="H1" s="2" t="s">
        <v>3</v>
      </c>
      <c r="I1" s="2" t="s">
        <v>4</v>
      </c>
      <c r="J1" s="2" t="s">
        <v>5</v>
      </c>
      <c r="K1" s="2" t="s">
        <v>6</v>
      </c>
      <c r="L1" s="2" t="s">
        <v>7</v>
      </c>
      <c r="M1" s="2" t="s">
        <v>12</v>
      </c>
    </row>
    <row r="2" spans="1:13" ht="45">
      <c r="A2" s="30" t="s">
        <v>522</v>
      </c>
      <c r="B2" s="30" t="s">
        <v>25</v>
      </c>
      <c r="C2" s="30" t="s">
        <v>246</v>
      </c>
      <c r="D2" s="31">
        <v>50</v>
      </c>
      <c r="E2" s="30" t="s">
        <v>33</v>
      </c>
      <c r="F2" s="30" t="s">
        <v>523</v>
      </c>
      <c r="G2" s="34"/>
      <c r="H2" s="34">
        <f>D2*G2</f>
        <v>0</v>
      </c>
      <c r="I2" s="30" t="s">
        <v>20</v>
      </c>
      <c r="J2" s="30" t="s">
        <v>21</v>
      </c>
      <c r="K2" s="35">
        <v>45444</v>
      </c>
      <c r="L2" s="30" t="s">
        <v>20</v>
      </c>
      <c r="M2" s="30" t="s">
        <v>524</v>
      </c>
    </row>
    <row r="3" spans="1:13" ht="45">
      <c r="A3" s="30" t="s">
        <v>525</v>
      </c>
      <c r="B3" s="30" t="s">
        <v>25</v>
      </c>
      <c r="C3" s="30" t="s">
        <v>246</v>
      </c>
      <c r="D3" s="31">
        <v>40</v>
      </c>
      <c r="E3" s="30" t="s">
        <v>33</v>
      </c>
      <c r="F3" s="30" t="s">
        <v>523</v>
      </c>
      <c r="G3" s="34"/>
      <c r="H3" s="34">
        <f>D3*G3</f>
        <v>0</v>
      </c>
      <c r="I3" s="30" t="s">
        <v>20</v>
      </c>
      <c r="J3" s="30" t="s">
        <v>21</v>
      </c>
      <c r="K3" s="35">
        <v>45444</v>
      </c>
      <c r="L3" s="30" t="s">
        <v>20</v>
      </c>
      <c r="M3" s="30" t="s">
        <v>524</v>
      </c>
    </row>
    <row r="4" spans="1:13" ht="45">
      <c r="A4" s="30" t="s">
        <v>526</v>
      </c>
      <c r="B4" s="30" t="s">
        <v>25</v>
      </c>
      <c r="C4" s="30" t="s">
        <v>246</v>
      </c>
      <c r="D4" s="31">
        <v>40</v>
      </c>
      <c r="E4" s="30" t="s">
        <v>33</v>
      </c>
      <c r="F4" s="30" t="s">
        <v>523</v>
      </c>
      <c r="G4" s="34"/>
      <c r="H4" s="34">
        <f>D4*G4</f>
        <v>0</v>
      </c>
      <c r="I4" s="30" t="s">
        <v>20</v>
      </c>
      <c r="J4" s="30" t="s">
        <v>21</v>
      </c>
      <c r="K4" s="35">
        <v>45444</v>
      </c>
      <c r="L4" s="30" t="s">
        <v>20</v>
      </c>
      <c r="M4" s="30" t="s">
        <v>524</v>
      </c>
    </row>
    <row r="5" spans="1:13" ht="45">
      <c r="A5" s="30" t="s">
        <v>527</v>
      </c>
      <c r="B5" s="30" t="s">
        <v>25</v>
      </c>
      <c r="C5" s="30" t="s">
        <v>246</v>
      </c>
      <c r="D5" s="31">
        <v>150</v>
      </c>
      <c r="E5" s="30" t="s">
        <v>33</v>
      </c>
      <c r="F5" s="30" t="s">
        <v>523</v>
      </c>
      <c r="G5" s="34"/>
      <c r="H5" s="34">
        <f>D5*G5</f>
        <v>0</v>
      </c>
      <c r="I5" s="30" t="s">
        <v>20</v>
      </c>
      <c r="J5" s="30" t="s">
        <v>21</v>
      </c>
      <c r="K5" s="35">
        <v>45444</v>
      </c>
      <c r="L5" s="30" t="s">
        <v>20</v>
      </c>
      <c r="M5" s="30" t="s">
        <v>524</v>
      </c>
    </row>
    <row r="6" spans="1:13" ht="45">
      <c r="A6" s="30" t="s">
        <v>528</v>
      </c>
      <c r="B6" s="30" t="s">
        <v>25</v>
      </c>
      <c r="C6" s="30" t="s">
        <v>246</v>
      </c>
      <c r="D6" s="31">
        <v>80</v>
      </c>
      <c r="E6" s="30" t="s">
        <v>33</v>
      </c>
      <c r="F6" s="30" t="s">
        <v>523</v>
      </c>
      <c r="G6" s="34"/>
      <c r="H6" s="34">
        <f t="shared" ref="H6:H56" si="0">D6*G6</f>
        <v>0</v>
      </c>
      <c r="I6" s="30" t="s">
        <v>20</v>
      </c>
      <c r="J6" s="30" t="s">
        <v>21</v>
      </c>
      <c r="K6" s="35">
        <v>45444</v>
      </c>
      <c r="L6" s="30" t="s">
        <v>20</v>
      </c>
      <c r="M6" s="30" t="s">
        <v>524</v>
      </c>
    </row>
    <row r="7" spans="1:13" ht="45">
      <c r="A7" s="30" t="s">
        <v>529</v>
      </c>
      <c r="B7" s="30" t="s">
        <v>25</v>
      </c>
      <c r="C7" s="30" t="s">
        <v>246</v>
      </c>
      <c r="D7" s="31">
        <v>60</v>
      </c>
      <c r="E7" s="30" t="s">
        <v>33</v>
      </c>
      <c r="F7" s="30" t="s">
        <v>523</v>
      </c>
      <c r="G7" s="34"/>
      <c r="H7" s="34">
        <f t="shared" si="0"/>
        <v>0</v>
      </c>
      <c r="I7" s="30" t="s">
        <v>20</v>
      </c>
      <c r="J7" s="30" t="s">
        <v>21</v>
      </c>
      <c r="K7" s="35">
        <v>45444</v>
      </c>
      <c r="L7" s="30" t="s">
        <v>20</v>
      </c>
      <c r="M7" s="30" t="s">
        <v>524</v>
      </c>
    </row>
    <row r="8" spans="1:13" ht="45">
      <c r="A8" s="30" t="s">
        <v>530</v>
      </c>
      <c r="B8" s="30" t="s">
        <v>25</v>
      </c>
      <c r="C8" s="30" t="s">
        <v>246</v>
      </c>
      <c r="D8" s="31">
        <v>40</v>
      </c>
      <c r="E8" s="30" t="s">
        <v>33</v>
      </c>
      <c r="F8" s="30" t="s">
        <v>523</v>
      </c>
      <c r="G8" s="34"/>
      <c r="H8" s="34">
        <f t="shared" si="0"/>
        <v>0</v>
      </c>
      <c r="I8" s="30" t="s">
        <v>20</v>
      </c>
      <c r="J8" s="30" t="s">
        <v>21</v>
      </c>
      <c r="K8" s="35">
        <v>45444</v>
      </c>
      <c r="L8" s="30" t="s">
        <v>20</v>
      </c>
      <c r="M8" s="30" t="s">
        <v>524</v>
      </c>
    </row>
    <row r="9" spans="1:13" ht="45">
      <c r="A9" s="30" t="s">
        <v>531</v>
      </c>
      <c r="B9" s="30" t="s">
        <v>25</v>
      </c>
      <c r="C9" s="30" t="s">
        <v>246</v>
      </c>
      <c r="D9" s="31">
        <v>15</v>
      </c>
      <c r="E9" s="30" t="s">
        <v>33</v>
      </c>
      <c r="F9" s="30" t="s">
        <v>523</v>
      </c>
      <c r="G9" s="34"/>
      <c r="H9" s="34">
        <f t="shared" si="0"/>
        <v>0</v>
      </c>
      <c r="I9" s="30" t="s">
        <v>20</v>
      </c>
      <c r="J9" s="30" t="s">
        <v>21</v>
      </c>
      <c r="K9" s="35">
        <v>45444</v>
      </c>
      <c r="L9" s="30" t="s">
        <v>20</v>
      </c>
      <c r="M9" s="30" t="s">
        <v>524</v>
      </c>
    </row>
    <row r="10" spans="1:13" ht="45">
      <c r="A10" s="30" t="s">
        <v>532</v>
      </c>
      <c r="B10" s="30" t="s">
        <v>25</v>
      </c>
      <c r="C10" s="30" t="s">
        <v>246</v>
      </c>
      <c r="D10" s="31">
        <v>50</v>
      </c>
      <c r="E10" s="30" t="s">
        <v>33</v>
      </c>
      <c r="F10" s="30" t="s">
        <v>523</v>
      </c>
      <c r="G10" s="34"/>
      <c r="H10" s="34">
        <f t="shared" si="0"/>
        <v>0</v>
      </c>
      <c r="I10" s="30" t="s">
        <v>20</v>
      </c>
      <c r="J10" s="30" t="s">
        <v>21</v>
      </c>
      <c r="K10" s="35">
        <v>45444</v>
      </c>
      <c r="L10" s="30" t="s">
        <v>20</v>
      </c>
      <c r="M10" s="30" t="s">
        <v>524</v>
      </c>
    </row>
    <row r="11" spans="1:13" ht="45">
      <c r="A11" s="30" t="s">
        <v>533</v>
      </c>
      <c r="B11" s="30" t="s">
        <v>25</v>
      </c>
      <c r="C11" s="30" t="s">
        <v>246</v>
      </c>
      <c r="D11" s="31">
        <v>2000</v>
      </c>
      <c r="E11" s="30" t="s">
        <v>33</v>
      </c>
      <c r="F11" s="30" t="s">
        <v>523</v>
      </c>
      <c r="G11" s="34"/>
      <c r="H11" s="34">
        <f t="shared" si="0"/>
        <v>0</v>
      </c>
      <c r="I11" s="30" t="s">
        <v>20</v>
      </c>
      <c r="J11" s="30" t="s">
        <v>21</v>
      </c>
      <c r="K11" s="35">
        <v>45444</v>
      </c>
      <c r="L11" s="30" t="s">
        <v>20</v>
      </c>
      <c r="M11" s="30" t="s">
        <v>524</v>
      </c>
    </row>
    <row r="12" spans="1:13" ht="45">
      <c r="A12" s="30" t="s">
        <v>534</v>
      </c>
      <c r="B12" s="30" t="s">
        <v>25</v>
      </c>
      <c r="C12" s="30" t="s">
        <v>246</v>
      </c>
      <c r="D12" s="31">
        <v>350</v>
      </c>
      <c r="E12" s="30" t="s">
        <v>33</v>
      </c>
      <c r="F12" s="30" t="s">
        <v>523</v>
      </c>
      <c r="G12" s="34"/>
      <c r="H12" s="34">
        <f t="shared" si="0"/>
        <v>0</v>
      </c>
      <c r="I12" s="30" t="s">
        <v>20</v>
      </c>
      <c r="J12" s="30" t="s">
        <v>21</v>
      </c>
      <c r="K12" s="35">
        <v>45444</v>
      </c>
      <c r="L12" s="30" t="s">
        <v>20</v>
      </c>
      <c r="M12" s="30" t="s">
        <v>524</v>
      </c>
    </row>
    <row r="13" spans="1:13" ht="45">
      <c r="A13" s="30" t="s">
        <v>535</v>
      </c>
      <c r="B13" s="30" t="s">
        <v>25</v>
      </c>
      <c r="C13" s="30" t="s">
        <v>246</v>
      </c>
      <c r="D13" s="31">
        <v>50</v>
      </c>
      <c r="E13" s="30" t="s">
        <v>33</v>
      </c>
      <c r="F13" s="30" t="s">
        <v>523</v>
      </c>
      <c r="G13" s="34"/>
      <c r="H13" s="34">
        <f t="shared" si="0"/>
        <v>0</v>
      </c>
      <c r="I13" s="30" t="s">
        <v>20</v>
      </c>
      <c r="J13" s="30" t="s">
        <v>21</v>
      </c>
      <c r="K13" s="35">
        <v>45444</v>
      </c>
      <c r="L13" s="30" t="s">
        <v>20</v>
      </c>
      <c r="M13" s="30" t="s">
        <v>524</v>
      </c>
    </row>
    <row r="14" spans="1:13" ht="45">
      <c r="A14" s="30" t="s">
        <v>536</v>
      </c>
      <c r="B14" s="30" t="s">
        <v>25</v>
      </c>
      <c r="C14" s="30" t="s">
        <v>246</v>
      </c>
      <c r="D14" s="31">
        <v>40</v>
      </c>
      <c r="E14" s="30" t="s">
        <v>33</v>
      </c>
      <c r="F14" s="30" t="s">
        <v>523</v>
      </c>
      <c r="G14" s="34"/>
      <c r="H14" s="34">
        <f t="shared" si="0"/>
        <v>0</v>
      </c>
      <c r="I14" s="30" t="s">
        <v>20</v>
      </c>
      <c r="J14" s="30" t="s">
        <v>21</v>
      </c>
      <c r="K14" s="35">
        <v>45444</v>
      </c>
      <c r="L14" s="30" t="s">
        <v>20</v>
      </c>
      <c r="M14" s="30" t="s">
        <v>524</v>
      </c>
    </row>
    <row r="15" spans="1:13" ht="45">
      <c r="A15" s="30" t="s">
        <v>537</v>
      </c>
      <c r="B15" s="30" t="s">
        <v>25</v>
      </c>
      <c r="C15" s="30" t="s">
        <v>246</v>
      </c>
      <c r="D15" s="31">
        <v>15</v>
      </c>
      <c r="E15" s="30" t="s">
        <v>33</v>
      </c>
      <c r="F15" s="30" t="s">
        <v>523</v>
      </c>
      <c r="G15" s="34"/>
      <c r="H15" s="34">
        <f t="shared" si="0"/>
        <v>0</v>
      </c>
      <c r="I15" s="30" t="s">
        <v>20</v>
      </c>
      <c r="J15" s="30" t="s">
        <v>21</v>
      </c>
      <c r="K15" s="35">
        <v>45444</v>
      </c>
      <c r="L15" s="30" t="s">
        <v>20</v>
      </c>
      <c r="M15" s="30" t="s">
        <v>524</v>
      </c>
    </row>
    <row r="16" spans="1:13" ht="45">
      <c r="A16" s="30" t="s">
        <v>538</v>
      </c>
      <c r="B16" s="30" t="s">
        <v>25</v>
      </c>
      <c r="C16" s="30" t="s">
        <v>246</v>
      </c>
      <c r="D16" s="31">
        <v>50</v>
      </c>
      <c r="E16" s="30" t="s">
        <v>33</v>
      </c>
      <c r="F16" s="30" t="s">
        <v>523</v>
      </c>
      <c r="G16" s="34"/>
      <c r="H16" s="34">
        <f t="shared" si="0"/>
        <v>0</v>
      </c>
      <c r="I16" s="30" t="s">
        <v>20</v>
      </c>
      <c r="J16" s="30" t="s">
        <v>21</v>
      </c>
      <c r="K16" s="35">
        <v>45444</v>
      </c>
      <c r="L16" s="30" t="s">
        <v>20</v>
      </c>
      <c r="M16" s="30" t="s">
        <v>524</v>
      </c>
    </row>
    <row r="17" spans="1:13" ht="45">
      <c r="A17" s="30" t="s">
        <v>539</v>
      </c>
      <c r="B17" s="30" t="s">
        <v>25</v>
      </c>
      <c r="C17" s="30" t="s">
        <v>246</v>
      </c>
      <c r="D17" s="31">
        <v>15</v>
      </c>
      <c r="E17" s="30" t="s">
        <v>33</v>
      </c>
      <c r="F17" s="30" t="s">
        <v>523</v>
      </c>
      <c r="G17" s="34"/>
      <c r="H17" s="34">
        <f t="shared" si="0"/>
        <v>0</v>
      </c>
      <c r="I17" s="30" t="s">
        <v>20</v>
      </c>
      <c r="J17" s="30" t="s">
        <v>21</v>
      </c>
      <c r="K17" s="35">
        <v>45444</v>
      </c>
      <c r="L17" s="30" t="s">
        <v>20</v>
      </c>
      <c r="M17" s="30" t="s">
        <v>524</v>
      </c>
    </row>
    <row r="18" spans="1:13" ht="45">
      <c r="A18" s="30" t="s">
        <v>540</v>
      </c>
      <c r="B18" s="30" t="s">
        <v>25</v>
      </c>
      <c r="C18" s="30" t="s">
        <v>246</v>
      </c>
      <c r="D18" s="31">
        <v>1000</v>
      </c>
      <c r="E18" s="30" t="s">
        <v>541</v>
      </c>
      <c r="F18" s="30" t="s">
        <v>523</v>
      </c>
      <c r="G18" s="34"/>
      <c r="H18" s="34">
        <f t="shared" si="0"/>
        <v>0</v>
      </c>
      <c r="I18" s="30" t="s">
        <v>20</v>
      </c>
      <c r="J18" s="30" t="s">
        <v>21</v>
      </c>
      <c r="K18" s="35">
        <v>45444</v>
      </c>
      <c r="L18" s="30" t="s">
        <v>20</v>
      </c>
      <c r="M18" s="30" t="s">
        <v>524</v>
      </c>
    </row>
    <row r="19" spans="1:13" ht="45">
      <c r="A19" s="30" t="s">
        <v>542</v>
      </c>
      <c r="B19" s="30" t="s">
        <v>25</v>
      </c>
      <c r="C19" s="30" t="s">
        <v>246</v>
      </c>
      <c r="D19" s="31">
        <v>800</v>
      </c>
      <c r="E19" s="30" t="s">
        <v>541</v>
      </c>
      <c r="F19" s="30" t="s">
        <v>523</v>
      </c>
      <c r="G19" s="34"/>
      <c r="H19" s="34">
        <f t="shared" si="0"/>
        <v>0</v>
      </c>
      <c r="I19" s="30" t="s">
        <v>20</v>
      </c>
      <c r="J19" s="30" t="s">
        <v>21</v>
      </c>
      <c r="K19" s="35">
        <v>45444</v>
      </c>
      <c r="L19" s="30" t="s">
        <v>20</v>
      </c>
      <c r="M19" s="30" t="s">
        <v>524</v>
      </c>
    </row>
    <row r="20" spans="1:13" ht="45">
      <c r="A20" s="30" t="s">
        <v>543</v>
      </c>
      <c r="B20" s="30" t="s">
        <v>25</v>
      </c>
      <c r="C20" s="30" t="s">
        <v>246</v>
      </c>
      <c r="D20" s="31">
        <v>100</v>
      </c>
      <c r="E20" s="30" t="s">
        <v>541</v>
      </c>
      <c r="F20" s="30" t="s">
        <v>523</v>
      </c>
      <c r="G20" s="34"/>
      <c r="H20" s="34">
        <f t="shared" si="0"/>
        <v>0</v>
      </c>
      <c r="I20" s="30" t="s">
        <v>20</v>
      </c>
      <c r="J20" s="30" t="s">
        <v>21</v>
      </c>
      <c r="K20" s="35">
        <v>45444</v>
      </c>
      <c r="L20" s="30" t="s">
        <v>20</v>
      </c>
      <c r="M20" s="30" t="s">
        <v>524</v>
      </c>
    </row>
    <row r="21" spans="1:13" ht="45">
      <c r="A21" s="30" t="s">
        <v>544</v>
      </c>
      <c r="B21" s="30" t="s">
        <v>25</v>
      </c>
      <c r="C21" s="30" t="s">
        <v>246</v>
      </c>
      <c r="D21" s="31">
        <v>30</v>
      </c>
      <c r="E21" s="30" t="s">
        <v>545</v>
      </c>
      <c r="F21" s="30" t="s">
        <v>523</v>
      </c>
      <c r="G21" s="34"/>
      <c r="H21" s="34">
        <f t="shared" si="0"/>
        <v>0</v>
      </c>
      <c r="I21" s="30" t="s">
        <v>20</v>
      </c>
      <c r="J21" s="30" t="s">
        <v>21</v>
      </c>
      <c r="K21" s="35">
        <v>45444</v>
      </c>
      <c r="L21" s="30" t="s">
        <v>20</v>
      </c>
      <c r="M21" s="30" t="s">
        <v>524</v>
      </c>
    </row>
    <row r="22" spans="1:13" ht="45">
      <c r="A22" s="30" t="s">
        <v>546</v>
      </c>
      <c r="B22" s="30" t="s">
        <v>25</v>
      </c>
      <c r="C22" s="30" t="s">
        <v>246</v>
      </c>
      <c r="D22" s="31">
        <v>30</v>
      </c>
      <c r="E22" s="30" t="s">
        <v>545</v>
      </c>
      <c r="F22" s="30" t="s">
        <v>523</v>
      </c>
      <c r="G22" s="34"/>
      <c r="H22" s="34">
        <f t="shared" si="0"/>
        <v>0</v>
      </c>
      <c r="I22" s="30" t="s">
        <v>20</v>
      </c>
      <c r="J22" s="30" t="s">
        <v>21</v>
      </c>
      <c r="K22" s="35">
        <v>45444</v>
      </c>
      <c r="L22" s="30" t="s">
        <v>20</v>
      </c>
      <c r="M22" s="30" t="s">
        <v>524</v>
      </c>
    </row>
    <row r="23" spans="1:13" ht="45">
      <c r="A23" s="30" t="s">
        <v>547</v>
      </c>
      <c r="B23" s="30" t="s">
        <v>25</v>
      </c>
      <c r="C23" s="30" t="s">
        <v>246</v>
      </c>
      <c r="D23" s="31">
        <v>30</v>
      </c>
      <c r="E23" s="30" t="s">
        <v>545</v>
      </c>
      <c r="F23" s="30" t="s">
        <v>523</v>
      </c>
      <c r="G23" s="34"/>
      <c r="H23" s="34"/>
      <c r="I23" s="30"/>
      <c r="J23" s="30" t="s">
        <v>21</v>
      </c>
      <c r="K23" s="35">
        <v>45444</v>
      </c>
      <c r="L23" s="30" t="s">
        <v>20</v>
      </c>
      <c r="M23" s="30" t="s">
        <v>524</v>
      </c>
    </row>
    <row r="24" spans="1:13" ht="45">
      <c r="A24" s="30" t="s">
        <v>548</v>
      </c>
      <c r="B24" s="30" t="s">
        <v>25</v>
      </c>
      <c r="C24" s="30" t="s">
        <v>246</v>
      </c>
      <c r="D24" s="31">
        <v>30</v>
      </c>
      <c r="E24" s="30" t="s">
        <v>545</v>
      </c>
      <c r="F24" s="30" t="s">
        <v>523</v>
      </c>
      <c r="G24" s="34"/>
      <c r="H24" s="34">
        <f t="shared" si="0"/>
        <v>0</v>
      </c>
      <c r="I24" s="30" t="s">
        <v>20</v>
      </c>
      <c r="J24" s="30" t="s">
        <v>21</v>
      </c>
      <c r="K24" s="35">
        <v>45444</v>
      </c>
      <c r="L24" s="30" t="s">
        <v>20</v>
      </c>
      <c r="M24" s="30" t="s">
        <v>524</v>
      </c>
    </row>
    <row r="25" spans="1:13" ht="45">
      <c r="A25" s="30" t="s">
        <v>549</v>
      </c>
      <c r="B25" s="30" t="s">
        <v>25</v>
      </c>
      <c r="C25" s="30" t="s">
        <v>246</v>
      </c>
      <c r="D25" s="31">
        <v>80</v>
      </c>
      <c r="E25" s="30" t="s">
        <v>545</v>
      </c>
      <c r="F25" s="30" t="s">
        <v>523</v>
      </c>
      <c r="G25" s="34"/>
      <c r="H25" s="34">
        <f t="shared" si="0"/>
        <v>0</v>
      </c>
      <c r="I25" s="30" t="s">
        <v>20</v>
      </c>
      <c r="J25" s="30" t="s">
        <v>21</v>
      </c>
      <c r="K25" s="35">
        <v>45444</v>
      </c>
      <c r="L25" s="30" t="s">
        <v>20</v>
      </c>
      <c r="M25" s="30" t="s">
        <v>524</v>
      </c>
    </row>
    <row r="26" spans="1:13" ht="45">
      <c r="A26" s="30" t="s">
        <v>550</v>
      </c>
      <c r="B26" s="30" t="s">
        <v>25</v>
      </c>
      <c r="C26" s="30" t="s">
        <v>246</v>
      </c>
      <c r="D26" s="31">
        <v>10</v>
      </c>
      <c r="E26" s="30" t="s">
        <v>551</v>
      </c>
      <c r="F26" s="30" t="s">
        <v>552</v>
      </c>
      <c r="G26" s="34">
        <v>6000</v>
      </c>
      <c r="H26" s="34">
        <f t="shared" si="0"/>
        <v>60000</v>
      </c>
      <c r="I26" s="30" t="s">
        <v>20</v>
      </c>
      <c r="J26" s="30" t="s">
        <v>21</v>
      </c>
      <c r="K26" s="35">
        <v>45444</v>
      </c>
      <c r="L26" s="30" t="s">
        <v>20</v>
      </c>
      <c r="M26" s="30" t="s">
        <v>524</v>
      </c>
    </row>
    <row r="27" spans="1:13">
      <c r="A27" s="30"/>
      <c r="B27" s="30"/>
      <c r="C27" s="30"/>
      <c r="D27" s="31"/>
      <c r="E27" s="30"/>
      <c r="F27" s="30"/>
      <c r="G27" s="34"/>
      <c r="H27" s="34"/>
      <c r="I27" s="30"/>
      <c r="J27" s="30"/>
      <c r="K27" s="35">
        <v>45444</v>
      </c>
      <c r="L27" s="30"/>
      <c r="M27" s="30"/>
    </row>
    <row r="28" spans="1:13">
      <c r="A28" s="30"/>
      <c r="B28" s="30"/>
      <c r="C28" s="30"/>
      <c r="D28" s="31"/>
      <c r="E28" s="30"/>
      <c r="F28" s="30"/>
      <c r="G28" s="34"/>
      <c r="H28" s="34"/>
      <c r="I28" s="30"/>
      <c r="J28" s="30"/>
      <c r="K28" s="35">
        <v>45444</v>
      </c>
      <c r="L28" s="30"/>
      <c r="M28" s="30"/>
    </row>
    <row r="29" spans="1:13" ht="60">
      <c r="A29" s="30" t="s">
        <v>553</v>
      </c>
      <c r="B29" s="30" t="s">
        <v>34</v>
      </c>
      <c r="C29" s="30" t="s">
        <v>168</v>
      </c>
      <c r="D29" s="31">
        <v>1</v>
      </c>
      <c r="E29" s="30" t="s">
        <v>33</v>
      </c>
      <c r="F29" s="30" t="s">
        <v>251</v>
      </c>
      <c r="G29" s="34">
        <v>3000</v>
      </c>
      <c r="H29" s="34">
        <f t="shared" si="0"/>
        <v>3000</v>
      </c>
      <c r="I29" s="30" t="s">
        <v>20</v>
      </c>
      <c r="J29" s="30" t="s">
        <v>21</v>
      </c>
      <c r="K29" s="35">
        <v>45444</v>
      </c>
      <c r="L29" s="30" t="s">
        <v>20</v>
      </c>
      <c r="M29" s="30" t="s">
        <v>524</v>
      </c>
    </row>
    <row r="30" spans="1:13" ht="45">
      <c r="A30" s="30" t="s">
        <v>240</v>
      </c>
      <c r="B30" s="30" t="s">
        <v>34</v>
      </c>
      <c r="C30" s="30" t="s">
        <v>168</v>
      </c>
      <c r="D30" s="31">
        <v>8</v>
      </c>
      <c r="E30" s="30" t="s">
        <v>33</v>
      </c>
      <c r="F30" s="30" t="s">
        <v>190</v>
      </c>
      <c r="G30" s="34">
        <v>519</v>
      </c>
      <c r="H30" s="34">
        <f t="shared" si="0"/>
        <v>4152</v>
      </c>
      <c r="I30" s="30" t="s">
        <v>20</v>
      </c>
      <c r="J30" s="30" t="s">
        <v>21</v>
      </c>
      <c r="K30" s="35">
        <v>45444</v>
      </c>
      <c r="L30" s="30" t="s">
        <v>20</v>
      </c>
      <c r="M30" s="30" t="s">
        <v>524</v>
      </c>
    </row>
    <row r="31" spans="1:13" ht="45">
      <c r="A31" s="30" t="s">
        <v>39</v>
      </c>
      <c r="B31" s="30" t="s">
        <v>34</v>
      </c>
      <c r="C31" s="30" t="s">
        <v>35</v>
      </c>
      <c r="D31" s="31">
        <v>1800</v>
      </c>
      <c r="E31" s="30" t="s">
        <v>58</v>
      </c>
      <c r="F31" s="30" t="s">
        <v>40</v>
      </c>
      <c r="G31" s="34">
        <v>6.2532000000000005</v>
      </c>
      <c r="H31" s="34">
        <f t="shared" si="0"/>
        <v>11255.76</v>
      </c>
      <c r="I31" s="30" t="s">
        <v>20</v>
      </c>
      <c r="J31" s="30" t="s">
        <v>21</v>
      </c>
      <c r="K31" s="35">
        <v>45444</v>
      </c>
      <c r="L31" s="30" t="s">
        <v>38</v>
      </c>
      <c r="M31" s="30" t="s">
        <v>524</v>
      </c>
    </row>
    <row r="32" spans="1:13" ht="45">
      <c r="A32" s="30" t="s">
        <v>37</v>
      </c>
      <c r="B32" s="30" t="s">
        <v>34</v>
      </c>
      <c r="C32" s="30" t="s">
        <v>35</v>
      </c>
      <c r="D32" s="31">
        <v>5</v>
      </c>
      <c r="E32" s="30" t="s">
        <v>33</v>
      </c>
      <c r="F32" s="30" t="s">
        <v>206</v>
      </c>
      <c r="G32" s="34">
        <v>126.63000000000001</v>
      </c>
      <c r="H32" s="34">
        <f t="shared" si="0"/>
        <v>633.15000000000009</v>
      </c>
      <c r="I32" s="30" t="s">
        <v>20</v>
      </c>
      <c r="J32" s="30" t="s">
        <v>21</v>
      </c>
      <c r="K32" s="35">
        <v>45444</v>
      </c>
      <c r="L32" s="30" t="s">
        <v>20</v>
      </c>
      <c r="M32" s="30" t="s">
        <v>524</v>
      </c>
    </row>
    <row r="33" spans="1:13">
      <c r="A33" s="30"/>
      <c r="B33" s="30"/>
      <c r="C33" s="30"/>
      <c r="D33" s="31"/>
      <c r="E33" s="30"/>
      <c r="F33" s="30"/>
      <c r="G33" s="34"/>
      <c r="H33" s="34"/>
      <c r="I33" s="30"/>
      <c r="J33" s="30"/>
      <c r="K33" s="35">
        <v>45444</v>
      </c>
      <c r="L33" s="30"/>
      <c r="M33" s="30"/>
    </row>
    <row r="34" spans="1:13" ht="45">
      <c r="A34" s="30" t="s">
        <v>554</v>
      </c>
      <c r="B34" s="30" t="s">
        <v>25</v>
      </c>
      <c r="C34" s="30" t="s">
        <v>168</v>
      </c>
      <c r="D34" s="31">
        <v>3</v>
      </c>
      <c r="E34" s="30" t="s">
        <v>33</v>
      </c>
      <c r="F34" s="30" t="s">
        <v>208</v>
      </c>
      <c r="G34" s="34"/>
      <c r="H34" s="34"/>
      <c r="I34" s="30"/>
      <c r="J34" s="30"/>
      <c r="K34" s="35">
        <v>45444</v>
      </c>
      <c r="L34" s="30"/>
      <c r="M34" s="30" t="s">
        <v>524</v>
      </c>
    </row>
    <row r="35" spans="1:13" ht="45">
      <c r="A35" s="30" t="s">
        <v>272</v>
      </c>
      <c r="B35" s="30" t="s">
        <v>34</v>
      </c>
      <c r="C35" s="30" t="s">
        <v>35</v>
      </c>
      <c r="D35" s="31">
        <v>130</v>
      </c>
      <c r="E35" s="30" t="s">
        <v>33</v>
      </c>
      <c r="F35" s="30" t="s">
        <v>205</v>
      </c>
      <c r="G35" s="34">
        <v>14.191200000000002</v>
      </c>
      <c r="H35" s="34">
        <f t="shared" ref="H35:H37" si="1">D35*G35</f>
        <v>1844.8560000000002</v>
      </c>
      <c r="I35" s="30" t="s">
        <v>20</v>
      </c>
      <c r="J35" s="30" t="s">
        <v>21</v>
      </c>
      <c r="K35" s="35">
        <v>45444</v>
      </c>
      <c r="L35" s="30" t="s">
        <v>20</v>
      </c>
      <c r="M35" s="30" t="s">
        <v>524</v>
      </c>
    </row>
    <row r="36" spans="1:13" ht="45">
      <c r="A36" s="30" t="s">
        <v>555</v>
      </c>
      <c r="B36" s="30"/>
      <c r="C36" s="30"/>
      <c r="D36" s="31">
        <v>30</v>
      </c>
      <c r="E36" s="30" t="s">
        <v>33</v>
      </c>
      <c r="F36" s="30" t="s">
        <v>205</v>
      </c>
      <c r="G36" s="34">
        <v>38.42</v>
      </c>
      <c r="H36" s="34">
        <f t="shared" si="1"/>
        <v>1152.6000000000001</v>
      </c>
      <c r="I36" s="30" t="s">
        <v>20</v>
      </c>
      <c r="J36" s="30" t="s">
        <v>21</v>
      </c>
      <c r="K36" s="35">
        <v>45444</v>
      </c>
      <c r="L36" s="30" t="s">
        <v>20</v>
      </c>
      <c r="M36" s="30" t="s">
        <v>524</v>
      </c>
    </row>
    <row r="37" spans="1:13" ht="60">
      <c r="A37" s="30" t="s">
        <v>556</v>
      </c>
      <c r="B37" s="30" t="s">
        <v>25</v>
      </c>
      <c r="C37" s="30" t="s">
        <v>35</v>
      </c>
      <c r="D37" s="31">
        <v>120000</v>
      </c>
      <c r="E37" s="30" t="s">
        <v>33</v>
      </c>
      <c r="F37" s="30" t="s">
        <v>251</v>
      </c>
      <c r="G37" s="34">
        <v>0.1206</v>
      </c>
      <c r="H37" s="34">
        <f t="shared" si="1"/>
        <v>14472</v>
      </c>
      <c r="I37" s="30"/>
      <c r="J37" s="30" t="s">
        <v>21</v>
      </c>
      <c r="K37" s="35">
        <v>45444</v>
      </c>
      <c r="L37" s="30" t="s">
        <v>20</v>
      </c>
      <c r="M37" s="30" t="s">
        <v>524</v>
      </c>
    </row>
    <row r="38" spans="1:13" ht="45">
      <c r="A38" s="30" t="s">
        <v>557</v>
      </c>
      <c r="B38" s="30" t="s">
        <v>25</v>
      </c>
      <c r="C38" s="30" t="s">
        <v>35</v>
      </c>
      <c r="D38" s="31">
        <v>3000</v>
      </c>
      <c r="E38" s="30" t="s">
        <v>33</v>
      </c>
      <c r="F38" s="30" t="s">
        <v>205</v>
      </c>
      <c r="G38" s="34">
        <v>9.3800000000000008</v>
      </c>
      <c r="H38" s="34">
        <f t="shared" si="0"/>
        <v>28140.000000000004</v>
      </c>
      <c r="I38" s="30" t="s">
        <v>20</v>
      </c>
      <c r="J38" s="30" t="s">
        <v>21</v>
      </c>
      <c r="K38" s="35">
        <v>45444</v>
      </c>
      <c r="L38" s="30" t="s">
        <v>20</v>
      </c>
      <c r="M38" s="30" t="s">
        <v>524</v>
      </c>
    </row>
    <row r="39" spans="1:13" ht="45">
      <c r="A39" s="30" t="s">
        <v>558</v>
      </c>
      <c r="B39" s="30" t="s">
        <v>25</v>
      </c>
      <c r="C39" s="30" t="s">
        <v>35</v>
      </c>
      <c r="D39" s="31">
        <v>500</v>
      </c>
      <c r="E39" s="30" t="s">
        <v>33</v>
      </c>
      <c r="F39" s="30" t="s">
        <v>205</v>
      </c>
      <c r="G39" s="34">
        <v>12.88</v>
      </c>
      <c r="H39" s="34">
        <f t="shared" si="0"/>
        <v>6440</v>
      </c>
      <c r="I39" s="30" t="s">
        <v>20</v>
      </c>
      <c r="J39" s="30" t="s">
        <v>21</v>
      </c>
      <c r="K39" s="35">
        <v>45444</v>
      </c>
      <c r="L39" s="30" t="s">
        <v>20</v>
      </c>
      <c r="M39" s="30" t="s">
        <v>524</v>
      </c>
    </row>
    <row r="40" spans="1:13" ht="45">
      <c r="A40" s="30" t="s">
        <v>274</v>
      </c>
      <c r="B40" s="30" t="s">
        <v>34</v>
      </c>
      <c r="C40" s="30" t="s">
        <v>168</v>
      </c>
      <c r="D40" s="31">
        <v>1</v>
      </c>
      <c r="E40" s="30" t="s">
        <v>33</v>
      </c>
      <c r="F40" s="30" t="s">
        <v>208</v>
      </c>
      <c r="G40" s="34">
        <v>1999</v>
      </c>
      <c r="H40" s="34">
        <f t="shared" si="0"/>
        <v>1999</v>
      </c>
      <c r="I40" s="30" t="s">
        <v>20</v>
      </c>
      <c r="J40" s="30" t="s">
        <v>36</v>
      </c>
      <c r="K40" s="35">
        <v>45444</v>
      </c>
      <c r="L40" s="30" t="s">
        <v>20</v>
      </c>
      <c r="M40" s="30" t="s">
        <v>524</v>
      </c>
    </row>
    <row r="41" spans="1:13" ht="45">
      <c r="A41" s="30" t="s">
        <v>300</v>
      </c>
      <c r="B41" s="30" t="s">
        <v>34</v>
      </c>
      <c r="C41" s="30" t="s">
        <v>35</v>
      </c>
      <c r="D41" s="31">
        <v>28</v>
      </c>
      <c r="E41" s="30" t="s">
        <v>33</v>
      </c>
      <c r="F41" s="30" t="s">
        <v>211</v>
      </c>
      <c r="G41" s="34">
        <v>8.7696000000000005</v>
      </c>
      <c r="H41" s="34">
        <f t="shared" si="0"/>
        <v>245.54880000000003</v>
      </c>
      <c r="I41" s="30" t="s">
        <v>20</v>
      </c>
      <c r="J41" s="30" t="s">
        <v>36</v>
      </c>
      <c r="K41" s="35">
        <v>45444</v>
      </c>
      <c r="L41" s="30" t="s">
        <v>20</v>
      </c>
      <c r="M41" s="30" t="s">
        <v>524</v>
      </c>
    </row>
    <row r="42" spans="1:13" ht="45">
      <c r="A42" s="30" t="s">
        <v>82</v>
      </c>
      <c r="B42" s="30" t="s">
        <v>34</v>
      </c>
      <c r="C42" s="30" t="s">
        <v>35</v>
      </c>
      <c r="D42" s="31">
        <v>120</v>
      </c>
      <c r="E42" s="30" t="s">
        <v>81</v>
      </c>
      <c r="F42" s="30" t="s">
        <v>249</v>
      </c>
      <c r="G42" s="34">
        <v>4.32</v>
      </c>
      <c r="H42" s="34">
        <f t="shared" si="0"/>
        <v>518.40000000000009</v>
      </c>
      <c r="I42" s="30" t="s">
        <v>20</v>
      </c>
      <c r="J42" s="30" t="s">
        <v>36</v>
      </c>
      <c r="K42" s="35">
        <v>45444</v>
      </c>
      <c r="L42" s="30" t="s">
        <v>20</v>
      </c>
      <c r="M42" s="30" t="s">
        <v>524</v>
      </c>
    </row>
    <row r="43" spans="1:13" ht="45">
      <c r="A43" s="30" t="s">
        <v>284</v>
      </c>
      <c r="B43" s="30" t="s">
        <v>34</v>
      </c>
      <c r="C43" s="30" t="s">
        <v>35</v>
      </c>
      <c r="D43" s="31">
        <v>100</v>
      </c>
      <c r="E43" s="30" t="s">
        <v>59</v>
      </c>
      <c r="F43" s="30" t="s">
        <v>249</v>
      </c>
      <c r="G43" s="34">
        <v>1.8144</v>
      </c>
      <c r="H43" s="34">
        <f t="shared" si="0"/>
        <v>181.44</v>
      </c>
      <c r="I43" s="30" t="s">
        <v>20</v>
      </c>
      <c r="J43" s="30" t="s">
        <v>36</v>
      </c>
      <c r="K43" s="35">
        <v>45444</v>
      </c>
      <c r="L43" s="30" t="s">
        <v>20</v>
      </c>
      <c r="M43" s="30" t="s">
        <v>524</v>
      </c>
    </row>
    <row r="44" spans="1:13" ht="45">
      <c r="A44" s="30" t="s">
        <v>559</v>
      </c>
      <c r="B44" s="30" t="s">
        <v>34</v>
      </c>
      <c r="C44" s="30" t="s">
        <v>35</v>
      </c>
      <c r="D44" s="31">
        <v>100</v>
      </c>
      <c r="E44" s="30" t="s">
        <v>560</v>
      </c>
      <c r="F44" s="30" t="s">
        <v>239</v>
      </c>
      <c r="G44" s="34">
        <v>36.69</v>
      </c>
      <c r="H44" s="34">
        <f t="shared" si="0"/>
        <v>3669</v>
      </c>
      <c r="I44" s="30" t="s">
        <v>20</v>
      </c>
      <c r="J44" s="30" t="s">
        <v>36</v>
      </c>
      <c r="K44" s="35">
        <v>45444</v>
      </c>
      <c r="L44" s="30" t="s">
        <v>20</v>
      </c>
      <c r="M44" s="30" t="s">
        <v>524</v>
      </c>
    </row>
    <row r="45" spans="1:13" ht="45">
      <c r="A45" s="30" t="s">
        <v>561</v>
      </c>
      <c r="B45" s="30" t="s">
        <v>34</v>
      </c>
      <c r="C45" s="30" t="s">
        <v>35</v>
      </c>
      <c r="D45" s="31">
        <v>250</v>
      </c>
      <c r="E45" s="30" t="s">
        <v>33</v>
      </c>
      <c r="F45" s="30" t="s">
        <v>239</v>
      </c>
      <c r="G45" s="34">
        <v>12.47</v>
      </c>
      <c r="H45" s="34">
        <f t="shared" si="0"/>
        <v>3117.5</v>
      </c>
      <c r="I45" s="30" t="s">
        <v>20</v>
      </c>
      <c r="J45" s="30" t="s">
        <v>36</v>
      </c>
      <c r="K45" s="35">
        <v>45444</v>
      </c>
      <c r="L45" s="30" t="s">
        <v>20</v>
      </c>
      <c r="M45" s="30" t="s">
        <v>524</v>
      </c>
    </row>
    <row r="46" spans="1:13" ht="45">
      <c r="A46" s="30" t="s">
        <v>562</v>
      </c>
      <c r="B46" s="30" t="s">
        <v>34</v>
      </c>
      <c r="C46" s="30" t="s">
        <v>35</v>
      </c>
      <c r="D46" s="31">
        <v>100</v>
      </c>
      <c r="E46" s="30" t="s">
        <v>560</v>
      </c>
      <c r="F46" s="30" t="s">
        <v>239</v>
      </c>
      <c r="G46" s="34">
        <v>61.95</v>
      </c>
      <c r="H46" s="34">
        <f t="shared" si="0"/>
        <v>6195</v>
      </c>
      <c r="I46" s="30" t="s">
        <v>20</v>
      </c>
      <c r="J46" s="30" t="s">
        <v>36</v>
      </c>
      <c r="K46" s="35">
        <v>45444</v>
      </c>
      <c r="L46" s="30" t="s">
        <v>20</v>
      </c>
      <c r="M46" s="30" t="s">
        <v>524</v>
      </c>
    </row>
    <row r="47" spans="1:13" ht="45">
      <c r="A47" s="30" t="s">
        <v>563</v>
      </c>
      <c r="B47" s="30" t="s">
        <v>34</v>
      </c>
      <c r="C47" s="30" t="s">
        <v>35</v>
      </c>
      <c r="D47" s="31">
        <v>200</v>
      </c>
      <c r="E47" s="30" t="s">
        <v>33</v>
      </c>
      <c r="F47" s="30" t="s">
        <v>239</v>
      </c>
      <c r="G47" s="34">
        <v>83.4</v>
      </c>
      <c r="H47" s="34">
        <f t="shared" si="0"/>
        <v>16680</v>
      </c>
      <c r="I47" s="30" t="s">
        <v>20</v>
      </c>
      <c r="J47" s="30" t="s">
        <v>36</v>
      </c>
      <c r="K47" s="35">
        <v>45444</v>
      </c>
      <c r="L47" s="30" t="s">
        <v>20</v>
      </c>
      <c r="M47" s="30" t="s">
        <v>524</v>
      </c>
    </row>
    <row r="48" spans="1:13" ht="45">
      <c r="A48" s="30" t="s">
        <v>564</v>
      </c>
      <c r="B48" s="30" t="s">
        <v>34</v>
      </c>
      <c r="C48" s="30" t="s">
        <v>35</v>
      </c>
      <c r="D48" s="31">
        <v>50</v>
      </c>
      <c r="E48" s="30" t="s">
        <v>33</v>
      </c>
      <c r="F48" s="30" t="s">
        <v>239</v>
      </c>
      <c r="G48" s="34">
        <v>31.78</v>
      </c>
      <c r="H48" s="34">
        <f t="shared" si="0"/>
        <v>1589</v>
      </c>
      <c r="I48" s="30" t="s">
        <v>20</v>
      </c>
      <c r="J48" s="30" t="s">
        <v>36</v>
      </c>
      <c r="K48" s="35">
        <v>45444</v>
      </c>
      <c r="L48" s="30" t="s">
        <v>20</v>
      </c>
      <c r="M48" s="30" t="s">
        <v>524</v>
      </c>
    </row>
    <row r="49" spans="1:13" ht="45">
      <c r="A49" s="30" t="s">
        <v>565</v>
      </c>
      <c r="B49" s="30" t="s">
        <v>34</v>
      </c>
      <c r="C49" s="30" t="s">
        <v>35</v>
      </c>
      <c r="D49" s="31">
        <v>50</v>
      </c>
      <c r="E49" s="30" t="s">
        <v>560</v>
      </c>
      <c r="F49" s="30" t="s">
        <v>239</v>
      </c>
      <c r="G49" s="34">
        <v>51.97</v>
      </c>
      <c r="H49" s="34">
        <f t="shared" si="0"/>
        <v>2598.5</v>
      </c>
      <c r="I49" s="30" t="s">
        <v>20</v>
      </c>
      <c r="J49" s="30" t="s">
        <v>36</v>
      </c>
      <c r="K49" s="35">
        <v>45444</v>
      </c>
      <c r="L49" s="30" t="s">
        <v>20</v>
      </c>
      <c r="M49" s="30" t="s">
        <v>524</v>
      </c>
    </row>
    <row r="50" spans="1:13" ht="45">
      <c r="A50" s="30" t="s">
        <v>566</v>
      </c>
      <c r="B50" s="30" t="s">
        <v>34</v>
      </c>
      <c r="C50" s="30" t="s">
        <v>35</v>
      </c>
      <c r="D50" s="31">
        <v>150</v>
      </c>
      <c r="E50" s="30" t="s">
        <v>33</v>
      </c>
      <c r="F50" s="30" t="s">
        <v>239</v>
      </c>
      <c r="G50" s="34">
        <v>13.97</v>
      </c>
      <c r="H50" s="34">
        <f t="shared" si="0"/>
        <v>2095.5</v>
      </c>
      <c r="I50" s="30" t="s">
        <v>20</v>
      </c>
      <c r="J50" s="30" t="s">
        <v>36</v>
      </c>
      <c r="K50" s="35">
        <v>45444</v>
      </c>
      <c r="L50" s="30" t="s">
        <v>20</v>
      </c>
      <c r="M50" s="30" t="s">
        <v>524</v>
      </c>
    </row>
    <row r="51" spans="1:13" ht="45">
      <c r="A51" s="30" t="s">
        <v>567</v>
      </c>
      <c r="B51" s="30" t="s">
        <v>34</v>
      </c>
      <c r="C51" s="30" t="s">
        <v>35</v>
      </c>
      <c r="D51" s="31">
        <v>150</v>
      </c>
      <c r="E51" s="30" t="s">
        <v>560</v>
      </c>
      <c r="F51" s="30" t="s">
        <v>239</v>
      </c>
      <c r="G51" s="34">
        <v>59.9</v>
      </c>
      <c r="H51" s="34">
        <f t="shared" si="0"/>
        <v>8985</v>
      </c>
      <c r="I51" s="30" t="s">
        <v>20</v>
      </c>
      <c r="J51" s="30" t="s">
        <v>36</v>
      </c>
      <c r="K51" s="35">
        <v>45444</v>
      </c>
      <c r="L51" s="30" t="s">
        <v>20</v>
      </c>
      <c r="M51" s="30" t="s">
        <v>524</v>
      </c>
    </row>
    <row r="52" spans="1:13" ht="45">
      <c r="A52" s="30" t="s">
        <v>568</v>
      </c>
      <c r="B52" s="30" t="s">
        <v>34</v>
      </c>
      <c r="C52" s="30" t="s">
        <v>35</v>
      </c>
      <c r="D52" s="31">
        <v>100</v>
      </c>
      <c r="E52" s="30" t="s">
        <v>560</v>
      </c>
      <c r="F52" s="30" t="s">
        <v>239</v>
      </c>
      <c r="G52" s="34">
        <v>66.3</v>
      </c>
      <c r="H52" s="34">
        <f t="shared" si="0"/>
        <v>6630</v>
      </c>
      <c r="I52" s="30" t="s">
        <v>20</v>
      </c>
      <c r="J52" s="30" t="s">
        <v>36</v>
      </c>
      <c r="K52" s="35">
        <v>45444</v>
      </c>
      <c r="L52" s="30" t="s">
        <v>20</v>
      </c>
      <c r="M52" s="30" t="s">
        <v>524</v>
      </c>
    </row>
    <row r="53" spans="1:13">
      <c r="A53" s="30"/>
      <c r="B53" s="30"/>
      <c r="C53" s="30"/>
      <c r="D53" s="31"/>
      <c r="E53" s="30"/>
      <c r="F53" s="30"/>
      <c r="G53" s="34"/>
      <c r="H53" s="34"/>
      <c r="I53" s="30"/>
      <c r="J53" s="30"/>
      <c r="K53" s="35">
        <v>45444</v>
      </c>
      <c r="L53" s="30"/>
      <c r="M53" s="30"/>
    </row>
    <row r="54" spans="1:13">
      <c r="A54" s="30"/>
      <c r="B54" s="30"/>
      <c r="C54" s="30"/>
      <c r="D54" s="31"/>
      <c r="E54" s="30"/>
      <c r="F54" s="30"/>
      <c r="G54" s="34"/>
      <c r="H54" s="34"/>
      <c r="I54" s="30"/>
      <c r="J54" s="30"/>
      <c r="K54" s="35">
        <v>45444</v>
      </c>
      <c r="L54" s="30"/>
      <c r="M54" s="30"/>
    </row>
    <row r="55" spans="1:13">
      <c r="A55" s="30"/>
      <c r="B55" s="30"/>
      <c r="C55" s="30"/>
      <c r="D55" s="31"/>
      <c r="E55" s="30"/>
      <c r="F55" s="30"/>
      <c r="G55" s="34"/>
      <c r="H55" s="34"/>
      <c r="I55" s="30"/>
      <c r="J55" s="30"/>
      <c r="K55" s="35">
        <v>45444</v>
      </c>
      <c r="L55" s="30"/>
      <c r="M55" s="30"/>
    </row>
    <row r="56" spans="1:13" ht="45">
      <c r="A56" s="30" t="s">
        <v>198</v>
      </c>
      <c r="B56" s="30" t="s">
        <v>34</v>
      </c>
      <c r="C56" s="30" t="s">
        <v>35</v>
      </c>
      <c r="D56" s="31">
        <v>5000</v>
      </c>
      <c r="E56" s="30" t="s">
        <v>33</v>
      </c>
      <c r="F56" s="30" t="s">
        <v>207</v>
      </c>
      <c r="G56" s="34">
        <v>13.97</v>
      </c>
      <c r="H56" s="34">
        <f t="shared" si="0"/>
        <v>69850</v>
      </c>
      <c r="I56" s="30" t="s">
        <v>20</v>
      </c>
      <c r="J56" s="30" t="s">
        <v>36</v>
      </c>
      <c r="K56" s="35">
        <v>45444</v>
      </c>
      <c r="L56" s="30" t="s">
        <v>20</v>
      </c>
      <c r="M56" s="30" t="s">
        <v>524</v>
      </c>
    </row>
    <row r="57" spans="1:13">
      <c r="A57" s="30"/>
      <c r="B57" s="30"/>
      <c r="C57" s="30"/>
      <c r="D57" s="31"/>
      <c r="E57" s="30"/>
      <c r="F57" s="30"/>
      <c r="G57" s="34"/>
      <c r="H57" s="34"/>
      <c r="I57" s="30"/>
      <c r="J57" s="30"/>
      <c r="K57" s="35">
        <v>45444</v>
      </c>
      <c r="L57" s="30"/>
      <c r="M57" s="30"/>
    </row>
    <row r="58" spans="1:13">
      <c r="A58" s="30"/>
      <c r="B58" s="30"/>
      <c r="C58" s="30"/>
      <c r="D58" s="31"/>
      <c r="E58" s="30"/>
      <c r="F58" s="30"/>
      <c r="G58" s="34"/>
      <c r="H58" s="34"/>
      <c r="I58" s="30"/>
      <c r="J58" s="30"/>
      <c r="K58" s="35">
        <v>45444</v>
      </c>
      <c r="L58" s="30"/>
      <c r="M58" s="30"/>
    </row>
    <row r="59" spans="1:13" ht="45">
      <c r="A59" s="30" t="s">
        <v>16</v>
      </c>
      <c r="B59" s="30" t="s">
        <v>26</v>
      </c>
      <c r="C59" s="30" t="s">
        <v>17</v>
      </c>
      <c r="D59" s="31">
        <v>36</v>
      </c>
      <c r="E59" s="30" t="s">
        <v>18</v>
      </c>
      <c r="F59" s="30" t="s">
        <v>19</v>
      </c>
      <c r="G59" s="34">
        <v>89.586000000000013</v>
      </c>
      <c r="H59" s="34">
        <f t="shared" ref="H59:H82" si="2">D59*G59</f>
        <v>3225.0960000000005</v>
      </c>
      <c r="I59" s="30" t="s">
        <v>20</v>
      </c>
      <c r="J59" s="30" t="s">
        <v>21</v>
      </c>
      <c r="K59" s="35">
        <v>45444</v>
      </c>
      <c r="L59" s="30"/>
      <c r="M59" s="30" t="s">
        <v>524</v>
      </c>
    </row>
    <row r="60" spans="1:13" ht="60">
      <c r="A60" s="30" t="s">
        <v>134</v>
      </c>
      <c r="B60" s="30" t="s">
        <v>26</v>
      </c>
      <c r="C60" s="30" t="s">
        <v>168</v>
      </c>
      <c r="D60" s="31">
        <v>4</v>
      </c>
      <c r="E60" s="30" t="s">
        <v>33</v>
      </c>
      <c r="F60" s="30" t="s">
        <v>227</v>
      </c>
      <c r="G60" s="34">
        <f xml:space="preserve"> 3000</f>
        <v>3000</v>
      </c>
      <c r="H60" s="34">
        <f t="shared" si="2"/>
        <v>12000</v>
      </c>
      <c r="I60" s="30" t="s">
        <v>20</v>
      </c>
      <c r="J60" s="30" t="s">
        <v>21</v>
      </c>
      <c r="K60" s="35">
        <v>45444</v>
      </c>
      <c r="L60" s="30" t="s">
        <v>20</v>
      </c>
      <c r="M60" s="30" t="s">
        <v>524</v>
      </c>
    </row>
    <row r="61" spans="1:13" ht="45">
      <c r="A61" s="30" t="s">
        <v>159</v>
      </c>
      <c r="B61" s="30" t="s">
        <v>34</v>
      </c>
      <c r="C61" s="30" t="s">
        <v>168</v>
      </c>
      <c r="D61" s="31">
        <v>4</v>
      </c>
      <c r="E61" s="30" t="s">
        <v>33</v>
      </c>
      <c r="F61" s="30" t="s">
        <v>227</v>
      </c>
      <c r="G61" s="34">
        <v>99</v>
      </c>
      <c r="H61" s="34">
        <f t="shared" si="2"/>
        <v>396</v>
      </c>
      <c r="I61" s="30" t="s">
        <v>20</v>
      </c>
      <c r="J61" s="30" t="s">
        <v>36</v>
      </c>
      <c r="K61" s="35">
        <v>45444</v>
      </c>
      <c r="L61" s="30" t="s">
        <v>20</v>
      </c>
      <c r="M61" s="30" t="s">
        <v>524</v>
      </c>
    </row>
    <row r="62" spans="1:13" ht="45">
      <c r="A62" s="30" t="s">
        <v>253</v>
      </c>
      <c r="B62" s="30" t="s">
        <v>34</v>
      </c>
      <c r="C62" s="30" t="s">
        <v>168</v>
      </c>
      <c r="D62" s="31">
        <v>4</v>
      </c>
      <c r="E62" s="30" t="s">
        <v>33</v>
      </c>
      <c r="F62" s="30" t="s">
        <v>227</v>
      </c>
      <c r="G62" s="34">
        <v>33</v>
      </c>
      <c r="H62" s="34">
        <f t="shared" si="2"/>
        <v>132</v>
      </c>
      <c r="I62" s="30" t="s">
        <v>20</v>
      </c>
      <c r="J62" s="30" t="s">
        <v>169</v>
      </c>
      <c r="K62" s="35">
        <v>45444</v>
      </c>
      <c r="L62" s="30" t="s">
        <v>20</v>
      </c>
      <c r="M62" s="30" t="s">
        <v>524</v>
      </c>
    </row>
    <row r="63" spans="1:13" ht="45">
      <c r="A63" s="30" t="s">
        <v>165</v>
      </c>
      <c r="B63" s="30" t="s">
        <v>34</v>
      </c>
      <c r="C63" s="30" t="s">
        <v>168</v>
      </c>
      <c r="D63" s="31">
        <v>4</v>
      </c>
      <c r="E63" s="30" t="s">
        <v>33</v>
      </c>
      <c r="F63" s="30" t="s">
        <v>227</v>
      </c>
      <c r="G63" s="34">
        <v>39.94</v>
      </c>
      <c r="H63" s="34">
        <f t="shared" si="2"/>
        <v>159.76</v>
      </c>
      <c r="I63" s="30" t="s">
        <v>20</v>
      </c>
      <c r="J63" s="30" t="s">
        <v>36</v>
      </c>
      <c r="K63" s="35">
        <v>45444</v>
      </c>
      <c r="L63" s="30" t="s">
        <v>20</v>
      </c>
      <c r="M63" s="30" t="s">
        <v>524</v>
      </c>
    </row>
    <row r="64" spans="1:13" ht="45">
      <c r="A64" s="30" t="s">
        <v>133</v>
      </c>
      <c r="B64" s="30" t="s">
        <v>26</v>
      </c>
      <c r="C64" s="30" t="s">
        <v>168</v>
      </c>
      <c r="D64" s="31">
        <v>4</v>
      </c>
      <c r="E64" s="30" t="s">
        <v>33</v>
      </c>
      <c r="F64" s="30" t="s">
        <v>227</v>
      </c>
      <c r="G64" s="34">
        <v>800</v>
      </c>
      <c r="H64" s="34">
        <f t="shared" si="2"/>
        <v>3200</v>
      </c>
      <c r="I64" s="30" t="s">
        <v>20</v>
      </c>
      <c r="J64" s="30" t="s">
        <v>21</v>
      </c>
      <c r="K64" s="35">
        <v>45444</v>
      </c>
      <c r="L64" s="30" t="s">
        <v>20</v>
      </c>
      <c r="M64" s="30" t="s">
        <v>524</v>
      </c>
    </row>
    <row r="65" spans="1:13" ht="45">
      <c r="A65" s="30" t="s">
        <v>254</v>
      </c>
      <c r="B65" s="30" t="s">
        <v>34</v>
      </c>
      <c r="C65" s="30" t="s">
        <v>168</v>
      </c>
      <c r="D65" s="31">
        <v>4</v>
      </c>
      <c r="E65" s="30" t="s">
        <v>33</v>
      </c>
      <c r="F65" s="30" t="s">
        <v>227</v>
      </c>
      <c r="G65" s="34">
        <v>61.84</v>
      </c>
      <c r="H65" s="34">
        <f t="shared" si="2"/>
        <v>247.36</v>
      </c>
      <c r="I65" s="30" t="s">
        <v>20</v>
      </c>
      <c r="J65" s="30" t="s">
        <v>169</v>
      </c>
      <c r="K65" s="35">
        <v>45444</v>
      </c>
      <c r="L65" s="30" t="s">
        <v>20</v>
      </c>
      <c r="M65" s="30" t="s">
        <v>524</v>
      </c>
    </row>
    <row r="66" spans="1:13" ht="60">
      <c r="A66" s="30" t="s">
        <v>569</v>
      </c>
      <c r="B66" s="30" t="s">
        <v>34</v>
      </c>
      <c r="C66" s="30" t="s">
        <v>168</v>
      </c>
      <c r="D66" s="31">
        <v>10</v>
      </c>
      <c r="E66" s="30" t="s">
        <v>33</v>
      </c>
      <c r="F66" s="30" t="s">
        <v>226</v>
      </c>
      <c r="G66" s="34">
        <v>180</v>
      </c>
      <c r="H66" s="34">
        <f t="shared" si="2"/>
        <v>1800</v>
      </c>
      <c r="I66" s="30" t="s">
        <v>20</v>
      </c>
      <c r="J66" s="30" t="s">
        <v>21</v>
      </c>
      <c r="K66" s="35">
        <v>45444</v>
      </c>
      <c r="L66" s="30" t="s">
        <v>20</v>
      </c>
      <c r="M66" s="30" t="s">
        <v>524</v>
      </c>
    </row>
    <row r="67" spans="1:13" ht="60">
      <c r="A67" s="30" t="s">
        <v>570</v>
      </c>
      <c r="B67" s="30" t="s">
        <v>34</v>
      </c>
      <c r="C67" s="30" t="s">
        <v>168</v>
      </c>
      <c r="D67" s="31">
        <v>10</v>
      </c>
      <c r="E67" s="30" t="s">
        <v>33</v>
      </c>
      <c r="F67" s="30" t="s">
        <v>226</v>
      </c>
      <c r="G67" s="34">
        <v>156</v>
      </c>
      <c r="H67" s="34">
        <f t="shared" si="2"/>
        <v>1560</v>
      </c>
      <c r="I67" s="30" t="s">
        <v>20</v>
      </c>
      <c r="J67" s="30" t="s">
        <v>169</v>
      </c>
      <c r="K67" s="35">
        <v>45444</v>
      </c>
      <c r="L67" s="30" t="s">
        <v>20</v>
      </c>
      <c r="M67" s="30" t="s">
        <v>524</v>
      </c>
    </row>
    <row r="68" spans="1:13" ht="45">
      <c r="A68" s="30" t="s">
        <v>276</v>
      </c>
      <c r="B68" s="30" t="s">
        <v>34</v>
      </c>
      <c r="C68" s="30" t="s">
        <v>168</v>
      </c>
      <c r="D68" s="31">
        <v>1</v>
      </c>
      <c r="E68" s="30" t="s">
        <v>33</v>
      </c>
      <c r="F68" s="30" t="s">
        <v>208</v>
      </c>
      <c r="G68" s="34">
        <v>854</v>
      </c>
      <c r="H68" s="34">
        <f t="shared" si="2"/>
        <v>854</v>
      </c>
      <c r="I68" s="30" t="s">
        <v>20</v>
      </c>
      <c r="J68" s="30" t="s">
        <v>36</v>
      </c>
      <c r="K68" s="35">
        <v>45627</v>
      </c>
      <c r="L68" s="30" t="s">
        <v>20</v>
      </c>
      <c r="M68" s="30" t="s">
        <v>524</v>
      </c>
    </row>
    <row r="69" spans="1:13" ht="45">
      <c r="A69" s="30" t="s">
        <v>274</v>
      </c>
      <c r="B69" s="30" t="s">
        <v>34</v>
      </c>
      <c r="C69" s="30" t="s">
        <v>168</v>
      </c>
      <c r="D69" s="31">
        <v>1</v>
      </c>
      <c r="E69" s="30" t="s">
        <v>33</v>
      </c>
      <c r="F69" s="30" t="s">
        <v>208</v>
      </c>
      <c r="G69" s="34">
        <v>1999</v>
      </c>
      <c r="H69" s="34">
        <f t="shared" si="2"/>
        <v>1999</v>
      </c>
      <c r="I69" s="30" t="s">
        <v>20</v>
      </c>
      <c r="J69" s="30" t="s">
        <v>36</v>
      </c>
      <c r="K69" s="35">
        <v>45444</v>
      </c>
      <c r="L69" s="30" t="s">
        <v>20</v>
      </c>
      <c r="M69" s="30" t="s">
        <v>524</v>
      </c>
    </row>
    <row r="70" spans="1:13" ht="45">
      <c r="A70" s="30" t="s">
        <v>275</v>
      </c>
      <c r="B70" s="30" t="s">
        <v>34</v>
      </c>
      <c r="C70" s="30" t="s">
        <v>168</v>
      </c>
      <c r="D70" s="31">
        <v>1</v>
      </c>
      <c r="E70" s="30" t="s">
        <v>33</v>
      </c>
      <c r="F70" s="30" t="s">
        <v>208</v>
      </c>
      <c r="G70" s="34">
        <v>539</v>
      </c>
      <c r="H70" s="34">
        <f t="shared" si="2"/>
        <v>539</v>
      </c>
      <c r="I70" s="30" t="s">
        <v>20</v>
      </c>
      <c r="J70" s="30" t="s">
        <v>36</v>
      </c>
      <c r="K70" s="35">
        <v>45444</v>
      </c>
      <c r="L70" s="30" t="s">
        <v>20</v>
      </c>
      <c r="M70" s="30" t="s">
        <v>524</v>
      </c>
    </row>
    <row r="71" spans="1:13" ht="45">
      <c r="A71" s="30"/>
      <c r="B71" s="30"/>
      <c r="C71" s="30"/>
      <c r="D71" s="31"/>
      <c r="E71" s="30"/>
      <c r="F71" s="30"/>
      <c r="G71" s="34"/>
      <c r="H71" s="34"/>
      <c r="I71" s="30"/>
      <c r="J71" s="30"/>
      <c r="K71" s="35"/>
      <c r="L71" s="30"/>
      <c r="M71" s="30" t="s">
        <v>524</v>
      </c>
    </row>
    <row r="72" spans="1:13" ht="45">
      <c r="A72" s="30"/>
      <c r="B72" s="30"/>
      <c r="C72" s="30"/>
      <c r="D72" s="31"/>
      <c r="E72" s="30"/>
      <c r="F72" s="30"/>
      <c r="G72" s="34"/>
      <c r="H72" s="34"/>
      <c r="I72" s="30"/>
      <c r="J72" s="30"/>
      <c r="K72" s="35"/>
      <c r="L72" s="30"/>
      <c r="M72" s="30" t="s">
        <v>524</v>
      </c>
    </row>
    <row r="73" spans="1:13" ht="45">
      <c r="A73" s="30" t="s">
        <v>195</v>
      </c>
      <c r="B73" s="30" t="s">
        <v>34</v>
      </c>
      <c r="C73" s="30" t="s">
        <v>168</v>
      </c>
      <c r="D73" s="31">
        <v>100</v>
      </c>
      <c r="E73" s="30" t="s">
        <v>33</v>
      </c>
      <c r="F73" s="30" t="s">
        <v>208</v>
      </c>
      <c r="G73" s="34">
        <v>12.9</v>
      </c>
      <c r="H73" s="34">
        <f t="shared" si="2"/>
        <v>1290</v>
      </c>
      <c r="I73" s="30" t="s">
        <v>20</v>
      </c>
      <c r="J73" s="30" t="s">
        <v>21</v>
      </c>
      <c r="K73" s="35">
        <v>45444</v>
      </c>
      <c r="L73" s="30" t="s">
        <v>20</v>
      </c>
      <c r="M73" s="30" t="s">
        <v>524</v>
      </c>
    </row>
    <row r="74" spans="1:13" ht="60">
      <c r="A74" s="30" t="s">
        <v>571</v>
      </c>
      <c r="B74" s="30" t="s">
        <v>34</v>
      </c>
      <c r="C74" s="30" t="s">
        <v>168</v>
      </c>
      <c r="D74" s="31">
        <v>1</v>
      </c>
      <c r="E74" s="30" t="s">
        <v>33</v>
      </c>
      <c r="F74" s="30" t="s">
        <v>226</v>
      </c>
      <c r="G74" s="34">
        <v>3300</v>
      </c>
      <c r="H74" s="34">
        <f t="shared" si="2"/>
        <v>3300</v>
      </c>
      <c r="I74" s="30" t="s">
        <v>20</v>
      </c>
      <c r="J74" s="30" t="s">
        <v>169</v>
      </c>
      <c r="K74" s="35">
        <v>45444</v>
      </c>
      <c r="L74" s="30" t="s">
        <v>20</v>
      </c>
      <c r="M74" s="30" t="s">
        <v>524</v>
      </c>
    </row>
    <row r="75" spans="1:13" ht="45">
      <c r="A75" s="30" t="s">
        <v>572</v>
      </c>
      <c r="B75" s="30" t="s">
        <v>34</v>
      </c>
      <c r="C75" s="30" t="s">
        <v>168</v>
      </c>
      <c r="D75" s="31">
        <v>1</v>
      </c>
      <c r="E75" s="30" t="s">
        <v>33</v>
      </c>
      <c r="F75" s="30" t="s">
        <v>208</v>
      </c>
      <c r="G75" s="34">
        <v>1800</v>
      </c>
      <c r="H75" s="34">
        <f t="shared" si="2"/>
        <v>1800</v>
      </c>
      <c r="I75" s="30" t="s">
        <v>20</v>
      </c>
      <c r="J75" s="30" t="s">
        <v>36</v>
      </c>
      <c r="K75" s="35">
        <v>45444</v>
      </c>
      <c r="L75" s="30" t="s">
        <v>20</v>
      </c>
      <c r="M75" s="30" t="s">
        <v>524</v>
      </c>
    </row>
    <row r="76" spans="1:13" ht="45">
      <c r="A76" s="30" t="s">
        <v>188</v>
      </c>
      <c r="B76" s="30" t="s">
        <v>34</v>
      </c>
      <c r="C76" s="30" t="s">
        <v>168</v>
      </c>
      <c r="D76" s="31">
        <v>10</v>
      </c>
      <c r="E76" s="30" t="s">
        <v>33</v>
      </c>
      <c r="F76" s="30" t="s">
        <v>208</v>
      </c>
      <c r="G76" s="34">
        <v>427</v>
      </c>
      <c r="H76" s="34">
        <f t="shared" si="2"/>
        <v>4270</v>
      </c>
      <c r="I76" s="30" t="s">
        <v>20</v>
      </c>
      <c r="J76" s="30" t="s">
        <v>169</v>
      </c>
      <c r="K76" s="35">
        <v>45444</v>
      </c>
      <c r="L76" s="30" t="s">
        <v>20</v>
      </c>
      <c r="M76" s="30" t="s">
        <v>524</v>
      </c>
    </row>
    <row r="77" spans="1:13" ht="45">
      <c r="A77" s="30" t="s">
        <v>573</v>
      </c>
      <c r="B77" s="30" t="s">
        <v>34</v>
      </c>
      <c r="C77" s="30" t="s">
        <v>168</v>
      </c>
      <c r="D77" s="31">
        <v>10</v>
      </c>
      <c r="E77" s="30" t="s">
        <v>33</v>
      </c>
      <c r="F77" s="30" t="s">
        <v>208</v>
      </c>
      <c r="G77" s="34">
        <v>6.07</v>
      </c>
      <c r="H77" s="34">
        <f t="shared" si="2"/>
        <v>60.7</v>
      </c>
      <c r="I77" s="30" t="s">
        <v>20</v>
      </c>
      <c r="J77" s="30" t="s">
        <v>21</v>
      </c>
      <c r="K77" s="35">
        <v>45444</v>
      </c>
      <c r="L77" s="30" t="s">
        <v>20</v>
      </c>
      <c r="M77" s="30" t="s">
        <v>524</v>
      </c>
    </row>
    <row r="78" spans="1:13" ht="45">
      <c r="A78" s="30" t="s">
        <v>574</v>
      </c>
      <c r="B78" s="30" t="s">
        <v>34</v>
      </c>
      <c r="C78" s="30" t="s">
        <v>168</v>
      </c>
      <c r="D78" s="31">
        <v>10</v>
      </c>
      <c r="E78" s="30" t="s">
        <v>33</v>
      </c>
      <c r="F78" s="30" t="s">
        <v>575</v>
      </c>
      <c r="G78" s="34">
        <v>167.31</v>
      </c>
      <c r="H78" s="34">
        <f t="shared" si="2"/>
        <v>1673.1</v>
      </c>
      <c r="I78" s="30" t="s">
        <v>20</v>
      </c>
      <c r="J78" s="30" t="s">
        <v>169</v>
      </c>
      <c r="K78" s="35">
        <v>45444</v>
      </c>
      <c r="L78" s="30" t="s">
        <v>20</v>
      </c>
      <c r="M78" s="30" t="s">
        <v>524</v>
      </c>
    </row>
    <row r="79" spans="1:13" ht="60">
      <c r="A79" s="30" t="s">
        <v>576</v>
      </c>
      <c r="B79" s="30" t="s">
        <v>34</v>
      </c>
      <c r="C79" s="30" t="s">
        <v>168</v>
      </c>
      <c r="D79" s="31">
        <v>1</v>
      </c>
      <c r="E79" s="30" t="s">
        <v>33</v>
      </c>
      <c r="F79" s="30" t="s">
        <v>226</v>
      </c>
      <c r="G79" s="34">
        <v>2000</v>
      </c>
      <c r="H79" s="34">
        <f t="shared" si="2"/>
        <v>2000</v>
      </c>
      <c r="I79" s="30" t="s">
        <v>20</v>
      </c>
      <c r="J79" s="30" t="s">
        <v>169</v>
      </c>
      <c r="K79" s="35">
        <v>45444</v>
      </c>
      <c r="L79" s="30" t="s">
        <v>20</v>
      </c>
      <c r="M79" s="30" t="s">
        <v>524</v>
      </c>
    </row>
    <row r="80" spans="1:13" ht="60">
      <c r="A80" s="30" t="s">
        <v>577</v>
      </c>
      <c r="B80" s="30" t="s">
        <v>34</v>
      </c>
      <c r="C80" s="30" t="s">
        <v>168</v>
      </c>
      <c r="D80" s="31">
        <v>1</v>
      </c>
      <c r="E80" s="30" t="s">
        <v>33</v>
      </c>
      <c r="F80" s="30" t="s">
        <v>226</v>
      </c>
      <c r="G80" s="34">
        <v>1800</v>
      </c>
      <c r="H80" s="34">
        <f t="shared" si="2"/>
        <v>1800</v>
      </c>
      <c r="I80" s="30" t="s">
        <v>20</v>
      </c>
      <c r="J80" s="30" t="s">
        <v>169</v>
      </c>
      <c r="K80" s="35">
        <v>45444</v>
      </c>
      <c r="L80" s="30" t="s">
        <v>20</v>
      </c>
      <c r="M80" s="30" t="s">
        <v>524</v>
      </c>
    </row>
    <row r="81" spans="1:13" ht="60">
      <c r="A81" s="30" t="s">
        <v>578</v>
      </c>
      <c r="B81" s="30" t="s">
        <v>34</v>
      </c>
      <c r="C81" s="30" t="s">
        <v>168</v>
      </c>
      <c r="D81" s="31">
        <v>1</v>
      </c>
      <c r="E81" s="30" t="s">
        <v>33</v>
      </c>
      <c r="F81" s="30" t="s">
        <v>226</v>
      </c>
      <c r="G81" s="34">
        <v>2800</v>
      </c>
      <c r="H81" s="34">
        <f t="shared" si="2"/>
        <v>2800</v>
      </c>
      <c r="I81" s="30" t="s">
        <v>20</v>
      </c>
      <c r="J81" s="30" t="s">
        <v>169</v>
      </c>
      <c r="K81" s="35">
        <v>45444</v>
      </c>
      <c r="L81" s="30" t="s">
        <v>20</v>
      </c>
      <c r="M81" s="30" t="s">
        <v>524</v>
      </c>
    </row>
    <row r="82" spans="1:13" ht="45">
      <c r="A82" s="30" t="s">
        <v>45</v>
      </c>
      <c r="B82" s="30" t="s">
        <v>34</v>
      </c>
      <c r="C82" s="30" t="s">
        <v>35</v>
      </c>
      <c r="D82" s="31">
        <v>36</v>
      </c>
      <c r="E82" s="30" t="s">
        <v>33</v>
      </c>
      <c r="F82" s="30" t="s">
        <v>8</v>
      </c>
      <c r="G82" s="34">
        <v>14.39</v>
      </c>
      <c r="H82" s="34">
        <f t="shared" si="2"/>
        <v>518.04</v>
      </c>
      <c r="I82" s="30" t="s">
        <v>20</v>
      </c>
      <c r="J82" s="30" t="s">
        <v>579</v>
      </c>
      <c r="K82" s="35">
        <v>45444</v>
      </c>
      <c r="L82" s="30" t="s">
        <v>20</v>
      </c>
      <c r="M82" s="30" t="s">
        <v>524</v>
      </c>
    </row>
    <row r="83" spans="1:13">
      <c r="A83" s="30"/>
      <c r="B83" s="30"/>
      <c r="C83" s="30"/>
      <c r="D83" s="31"/>
      <c r="E83" s="30"/>
      <c r="F83" s="30"/>
      <c r="G83" s="34"/>
      <c r="H83" s="34"/>
      <c r="I83" s="30"/>
      <c r="J83" s="30"/>
      <c r="K83" s="35">
        <v>45444</v>
      </c>
      <c r="L83" s="30"/>
      <c r="M83" s="30"/>
    </row>
    <row r="84" spans="1:13">
      <c r="A84" s="30"/>
      <c r="B84" s="30"/>
      <c r="C84" s="30"/>
      <c r="D84" s="31"/>
      <c r="E84" s="30"/>
      <c r="F84" s="30"/>
      <c r="G84" s="34"/>
      <c r="H84" s="34"/>
      <c r="I84" s="30"/>
      <c r="J84" s="30"/>
      <c r="K84" s="35">
        <v>45444</v>
      </c>
      <c r="L84" s="30"/>
      <c r="M84" s="30"/>
    </row>
    <row r="85" spans="1:13">
      <c r="A85" s="30"/>
      <c r="B85" s="30"/>
      <c r="C85" s="30"/>
      <c r="D85" s="31"/>
      <c r="E85" s="30"/>
      <c r="F85" s="30"/>
      <c r="G85" s="34"/>
      <c r="H85" s="34"/>
      <c r="I85" s="30"/>
      <c r="J85" s="30"/>
      <c r="K85" s="35">
        <v>45444</v>
      </c>
      <c r="L85" s="30"/>
      <c r="M85" s="30"/>
    </row>
    <row r="86" spans="1:13">
      <c r="A86" s="30"/>
      <c r="B86" s="30"/>
      <c r="C86" s="30"/>
      <c r="D86" s="31"/>
      <c r="E86" s="30"/>
      <c r="F86" s="30"/>
      <c r="G86" s="34"/>
      <c r="H86" s="34"/>
      <c r="I86" s="30"/>
      <c r="J86" s="30"/>
      <c r="K86" s="35"/>
      <c r="L86" s="30"/>
      <c r="M86" s="30"/>
    </row>
    <row r="87" spans="1:13">
      <c r="A87" s="30"/>
      <c r="B87" s="30"/>
      <c r="C87" s="30"/>
      <c r="D87" s="31"/>
      <c r="E87" s="30"/>
      <c r="F87" s="30"/>
      <c r="G87" s="34"/>
      <c r="H87" s="34"/>
      <c r="I87" s="30"/>
      <c r="J87" s="30"/>
      <c r="K87" s="35"/>
      <c r="L87" s="30"/>
      <c r="M87" s="30"/>
    </row>
    <row r="88" spans="1:13">
      <c r="A88" s="30"/>
      <c r="B88" s="30"/>
      <c r="C88" s="30"/>
      <c r="D88" s="31"/>
      <c r="E88" s="30"/>
      <c r="F88" s="30"/>
      <c r="G88" s="34"/>
      <c r="H88" s="34"/>
      <c r="I88" s="30"/>
      <c r="J88" s="30"/>
      <c r="K88" s="35">
        <v>45444</v>
      </c>
      <c r="L88" s="30"/>
      <c r="M88" s="30"/>
    </row>
    <row r="89" spans="1:13">
      <c r="A89" s="30"/>
      <c r="B89" s="30"/>
      <c r="C89" s="30"/>
      <c r="D89" s="31"/>
      <c r="E89" s="30"/>
      <c r="F89" s="30"/>
      <c r="G89" s="34"/>
      <c r="H89" s="34"/>
      <c r="I89" s="30"/>
      <c r="J89" s="30"/>
      <c r="K89" s="35">
        <v>45444</v>
      </c>
      <c r="L89" s="30"/>
      <c r="M89" s="30"/>
    </row>
    <row r="90" spans="1:13">
      <c r="A90" s="30"/>
      <c r="B90" s="30"/>
      <c r="C90" s="30"/>
      <c r="D90" s="31"/>
      <c r="E90" s="30"/>
      <c r="F90" s="30"/>
      <c r="G90" s="34"/>
      <c r="H90" s="34"/>
      <c r="I90" s="30"/>
      <c r="J90" s="30"/>
      <c r="K90" s="35">
        <v>45444</v>
      </c>
      <c r="L90" s="30"/>
      <c r="M90" s="30"/>
    </row>
    <row r="91" spans="1:13">
      <c r="A91" s="30"/>
      <c r="B91" s="30"/>
      <c r="C91" s="30"/>
      <c r="D91" s="31"/>
      <c r="E91" s="30"/>
      <c r="F91" s="30"/>
      <c r="G91" s="34"/>
      <c r="H91" s="34"/>
      <c r="I91" s="30"/>
      <c r="J91" s="30"/>
      <c r="K91" s="35"/>
      <c r="L91" s="30"/>
      <c r="M91" s="30"/>
    </row>
    <row r="92" spans="1:13">
      <c r="A92" s="30"/>
      <c r="B92" s="30"/>
      <c r="C92" s="30"/>
      <c r="D92" s="31"/>
      <c r="E92" s="30"/>
      <c r="F92" s="30"/>
      <c r="G92" s="34"/>
      <c r="H92" s="34"/>
      <c r="I92" s="30"/>
      <c r="J92" s="30"/>
      <c r="K92" s="35"/>
      <c r="L92" s="30"/>
      <c r="M92" s="30"/>
    </row>
    <row r="93" spans="1:13">
      <c r="A93" s="30"/>
      <c r="B93" s="30"/>
      <c r="C93" s="30"/>
      <c r="D93" s="31"/>
      <c r="E93" s="30"/>
      <c r="F93" s="30"/>
      <c r="G93" s="34"/>
      <c r="H93" s="34"/>
      <c r="I93" s="30"/>
      <c r="J93" s="30"/>
      <c r="K93" s="35">
        <v>45444</v>
      </c>
      <c r="L93" s="30"/>
      <c r="M93" s="30"/>
    </row>
    <row r="94" spans="1:13">
      <c r="A94" s="30"/>
      <c r="B94" s="30"/>
      <c r="C94" s="30"/>
      <c r="D94" s="31"/>
      <c r="E94" s="30"/>
      <c r="F94" s="30"/>
      <c r="G94" s="34"/>
      <c r="H94" s="34"/>
      <c r="I94" s="30"/>
      <c r="J94" s="30"/>
      <c r="K94" s="35">
        <v>45444</v>
      </c>
      <c r="L94" s="30"/>
      <c r="M94" s="30"/>
    </row>
    <row r="95" spans="1:13">
      <c r="A95" s="30"/>
      <c r="B95" s="30"/>
      <c r="C95" s="30"/>
      <c r="D95" s="31"/>
      <c r="E95" s="30"/>
      <c r="F95" s="30"/>
      <c r="G95" s="34"/>
      <c r="H95" s="34"/>
      <c r="I95" s="30"/>
      <c r="J95" s="30"/>
      <c r="K95" s="35">
        <v>45444</v>
      </c>
      <c r="L95" s="30"/>
      <c r="M95" s="30"/>
    </row>
    <row r="96" spans="1:13">
      <c r="A96" s="30"/>
      <c r="B96" s="30"/>
      <c r="C96" s="30"/>
      <c r="D96" s="31"/>
      <c r="E96" s="30"/>
      <c r="F96" s="30"/>
      <c r="G96" s="34"/>
      <c r="H96" s="34"/>
      <c r="I96" s="30"/>
      <c r="J96" s="30"/>
      <c r="K96" s="35"/>
      <c r="L96" s="30"/>
      <c r="M96" s="30"/>
    </row>
    <row r="97" spans="1:13">
      <c r="A97" s="30"/>
      <c r="B97" s="30"/>
      <c r="C97" s="30"/>
      <c r="D97" s="31"/>
      <c r="E97" s="30"/>
      <c r="F97" s="30"/>
      <c r="G97" s="34"/>
      <c r="H97" s="34"/>
      <c r="I97" s="30"/>
      <c r="J97" s="30"/>
      <c r="K97" s="35"/>
      <c r="L97" s="30"/>
      <c r="M97" s="30"/>
    </row>
    <row r="98" spans="1:13">
      <c r="A98" s="30"/>
      <c r="B98" s="30"/>
      <c r="C98" s="30"/>
      <c r="D98" s="31"/>
      <c r="E98" s="30"/>
      <c r="F98" s="30"/>
      <c r="G98" s="34"/>
      <c r="H98" s="34"/>
      <c r="I98" s="30"/>
      <c r="J98" s="30"/>
      <c r="K98" s="35">
        <v>45444</v>
      </c>
      <c r="L98" s="30"/>
      <c r="M98" s="30"/>
    </row>
    <row r="99" spans="1:13">
      <c r="A99" s="30"/>
      <c r="B99" s="30"/>
      <c r="C99" s="30"/>
      <c r="D99" s="31"/>
      <c r="E99" s="30"/>
      <c r="F99" s="30"/>
      <c r="G99" s="34"/>
      <c r="H99" s="34"/>
      <c r="I99" s="30"/>
      <c r="J99" s="30"/>
      <c r="K99" s="35">
        <v>45444</v>
      </c>
      <c r="L99" s="30"/>
      <c r="M99" s="30"/>
    </row>
    <row r="100" spans="1:13">
      <c r="A100" s="30"/>
      <c r="B100" s="30"/>
      <c r="C100" s="30"/>
      <c r="D100" s="31"/>
      <c r="E100" s="30"/>
      <c r="F100" s="30"/>
      <c r="G100" s="34"/>
      <c r="H100" s="34"/>
      <c r="I100" s="30"/>
      <c r="J100" s="30"/>
      <c r="K100" s="35">
        <v>45444</v>
      </c>
      <c r="L100" s="30"/>
      <c r="M100" s="30"/>
    </row>
    <row r="101" spans="1:13">
      <c r="A101" s="30"/>
      <c r="B101" s="30"/>
      <c r="C101" s="30"/>
      <c r="D101" s="31"/>
      <c r="E101" s="30"/>
      <c r="F101" s="30"/>
      <c r="G101" s="34"/>
      <c r="H101" s="34"/>
      <c r="I101" s="30"/>
      <c r="J101" s="30"/>
      <c r="K101" s="35"/>
      <c r="L101" s="30"/>
      <c r="M101" s="30"/>
    </row>
    <row r="102" spans="1:13">
      <c r="A102" s="30"/>
      <c r="B102" s="30"/>
      <c r="C102" s="30"/>
      <c r="D102" s="31"/>
      <c r="E102" s="30"/>
      <c r="F102" s="30"/>
      <c r="G102" s="34"/>
      <c r="H102" s="34"/>
      <c r="I102" s="30"/>
      <c r="J102" s="30"/>
      <c r="K102" s="35"/>
      <c r="L102" s="30"/>
      <c r="M102" s="30"/>
    </row>
    <row r="103" spans="1:13">
      <c r="A103" s="30"/>
      <c r="B103" s="30"/>
      <c r="C103" s="30"/>
      <c r="D103" s="31"/>
      <c r="E103" s="30"/>
      <c r="F103" s="30"/>
      <c r="G103" s="34"/>
      <c r="H103" s="34"/>
      <c r="I103" s="30"/>
      <c r="J103" s="30"/>
      <c r="K103" s="35">
        <v>45444</v>
      </c>
      <c r="L103" s="30"/>
      <c r="M103" s="30"/>
    </row>
    <row r="104" spans="1:13">
      <c r="A104" s="30"/>
      <c r="B104" s="30"/>
      <c r="C104" s="30"/>
      <c r="D104" s="31"/>
      <c r="E104" s="30"/>
      <c r="F104" s="30"/>
      <c r="G104" s="34"/>
      <c r="H104" s="34"/>
      <c r="I104" s="30"/>
      <c r="J104" s="30"/>
      <c r="K104" s="35">
        <v>45444</v>
      </c>
      <c r="L104" s="30"/>
      <c r="M104" s="30"/>
    </row>
    <row r="105" spans="1:13">
      <c r="A105" s="30"/>
      <c r="B105" s="30"/>
      <c r="C105" s="30"/>
      <c r="D105" s="31"/>
      <c r="E105" s="30"/>
      <c r="F105" s="30"/>
      <c r="G105" s="34"/>
      <c r="H105" s="34"/>
      <c r="I105" s="30"/>
      <c r="J105" s="30"/>
      <c r="K105" s="35">
        <v>45444</v>
      </c>
      <c r="L105" s="30"/>
      <c r="M105" s="30"/>
    </row>
    <row r="106" spans="1:13">
      <c r="A106" s="30"/>
      <c r="B106" s="30"/>
      <c r="C106" s="30"/>
      <c r="D106" s="31"/>
      <c r="E106" s="30"/>
      <c r="F106" s="30"/>
      <c r="G106" s="34"/>
      <c r="H106" s="34"/>
      <c r="I106" s="30"/>
      <c r="J106" s="30"/>
      <c r="K106" s="35"/>
      <c r="L106" s="30"/>
      <c r="M106" s="30"/>
    </row>
    <row r="107" spans="1:13">
      <c r="A107" s="30"/>
      <c r="B107" s="30"/>
      <c r="C107" s="30"/>
      <c r="D107" s="31"/>
      <c r="E107" s="30"/>
      <c r="F107" s="30"/>
      <c r="G107" s="34"/>
      <c r="H107" s="34"/>
      <c r="I107" s="30"/>
      <c r="J107" s="30"/>
      <c r="K107" s="35"/>
      <c r="L107" s="30"/>
      <c r="M107" s="30"/>
    </row>
    <row r="108" spans="1:13">
      <c r="A108" s="30"/>
      <c r="B108" s="30"/>
      <c r="C108" s="30"/>
      <c r="D108" s="31"/>
      <c r="E108" s="30"/>
      <c r="F108" s="30"/>
      <c r="G108" s="34"/>
      <c r="H108" s="34"/>
      <c r="I108" s="30"/>
      <c r="J108" s="30"/>
      <c r="K108" s="35">
        <v>45444</v>
      </c>
      <c r="L108" s="30"/>
      <c r="M108" s="30"/>
    </row>
    <row r="109" spans="1:13">
      <c r="A109" s="30"/>
      <c r="B109" s="30"/>
      <c r="C109" s="30"/>
      <c r="D109" s="31"/>
      <c r="E109" s="30"/>
      <c r="F109" s="30"/>
      <c r="G109" s="34"/>
      <c r="H109" s="34"/>
      <c r="I109" s="30"/>
      <c r="J109" s="30"/>
      <c r="K109" s="35">
        <v>45444</v>
      </c>
      <c r="L109" s="30"/>
      <c r="M109" s="30"/>
    </row>
    <row r="110" spans="1:13">
      <c r="A110" s="30"/>
      <c r="B110" s="30"/>
      <c r="C110" s="30"/>
      <c r="D110" s="31"/>
      <c r="E110" s="30"/>
      <c r="F110" s="30"/>
      <c r="G110" s="34"/>
      <c r="H110" s="34"/>
      <c r="I110" s="30"/>
      <c r="J110" s="30"/>
      <c r="K110" s="35">
        <v>45444</v>
      </c>
      <c r="L110" s="30"/>
      <c r="M110" s="30"/>
    </row>
    <row r="111" spans="1:13">
      <c r="A111" s="30"/>
      <c r="B111" s="30"/>
      <c r="C111" s="30"/>
      <c r="D111" s="31"/>
      <c r="E111" s="30"/>
      <c r="F111" s="30"/>
      <c r="G111" s="34"/>
      <c r="H111" s="34"/>
      <c r="I111" s="30"/>
      <c r="J111" s="30"/>
      <c r="K111" s="35"/>
      <c r="L111" s="30"/>
      <c r="M111" s="30"/>
    </row>
    <row r="112" spans="1:13">
      <c r="A112" s="30"/>
      <c r="B112" s="30"/>
      <c r="C112" s="30"/>
      <c r="D112" s="31"/>
      <c r="E112" s="30"/>
      <c r="F112" s="30"/>
      <c r="G112" s="34"/>
      <c r="H112" s="34"/>
      <c r="I112" s="30"/>
      <c r="J112" s="30"/>
      <c r="K112" s="35"/>
      <c r="L112" s="30"/>
      <c r="M112" s="30"/>
    </row>
    <row r="113" spans="1:13">
      <c r="A113" s="30"/>
      <c r="B113" s="30"/>
      <c r="C113" s="30"/>
      <c r="D113" s="31"/>
      <c r="E113" s="30"/>
      <c r="F113" s="30"/>
      <c r="G113" s="34"/>
      <c r="H113" s="34"/>
      <c r="I113" s="30"/>
      <c r="J113" s="30"/>
      <c r="K113" s="35">
        <v>45444</v>
      </c>
      <c r="L113" s="30"/>
      <c r="M113" s="30"/>
    </row>
    <row r="114" spans="1:13">
      <c r="A114" s="30"/>
      <c r="B114" s="30"/>
      <c r="C114" s="30"/>
      <c r="D114" s="31"/>
      <c r="E114" s="30"/>
      <c r="F114" s="30"/>
      <c r="G114" s="34"/>
      <c r="H114" s="34"/>
      <c r="I114" s="30"/>
      <c r="J114" s="30"/>
      <c r="K114" s="35">
        <v>45444</v>
      </c>
      <c r="L114" s="30"/>
      <c r="M114" s="30"/>
    </row>
    <row r="115" spans="1:13">
      <c r="A115" s="30"/>
      <c r="B115" s="30"/>
      <c r="C115" s="30"/>
      <c r="D115" s="31"/>
      <c r="E115" s="30"/>
      <c r="F115" s="30"/>
      <c r="G115" s="34"/>
      <c r="H115" s="34"/>
      <c r="I115" s="30"/>
      <c r="J115" s="30"/>
      <c r="K115" s="35">
        <v>45444</v>
      </c>
      <c r="L115" s="30"/>
      <c r="M115" s="30"/>
    </row>
    <row r="116" spans="1:13">
      <c r="A116" s="30"/>
      <c r="B116" s="30"/>
      <c r="C116" s="30"/>
      <c r="D116" s="31"/>
      <c r="E116" s="30"/>
      <c r="F116" s="30"/>
      <c r="G116" s="34"/>
      <c r="H116" s="34"/>
      <c r="I116" s="30"/>
      <c r="J116" s="30"/>
      <c r="K116" s="35"/>
      <c r="L116" s="30"/>
      <c r="M116" s="30"/>
    </row>
    <row r="117" spans="1:13">
      <c r="A117" s="30"/>
      <c r="B117" s="30"/>
      <c r="C117" s="30"/>
      <c r="D117" s="31"/>
      <c r="E117" s="30"/>
      <c r="F117" s="30"/>
      <c r="G117" s="34"/>
      <c r="H117" s="34"/>
      <c r="I117" s="30"/>
      <c r="J117" s="30"/>
      <c r="K117" s="35"/>
      <c r="L117" s="30"/>
      <c r="M117" s="30"/>
    </row>
    <row r="118" spans="1:13">
      <c r="A118" s="30"/>
      <c r="B118" s="30"/>
      <c r="C118" s="30"/>
      <c r="D118" s="31"/>
      <c r="E118" s="30"/>
      <c r="F118" s="30"/>
      <c r="G118" s="34"/>
      <c r="H118" s="34"/>
      <c r="I118" s="30"/>
      <c r="J118" s="30"/>
      <c r="K118" s="35">
        <v>45444</v>
      </c>
      <c r="L118" s="30"/>
      <c r="M118" s="30"/>
    </row>
    <row r="119" spans="1:13">
      <c r="A119" s="30"/>
      <c r="B119" s="30"/>
      <c r="C119" s="30"/>
      <c r="D119" s="31"/>
      <c r="E119" s="30"/>
      <c r="F119" s="30"/>
      <c r="G119" s="34"/>
      <c r="H119" s="34"/>
      <c r="I119" s="30"/>
      <c r="J119" s="30"/>
      <c r="K119" s="35">
        <v>45444</v>
      </c>
      <c r="L119" s="30"/>
      <c r="M119" s="30"/>
    </row>
    <row r="120" spans="1:13">
      <c r="A120" s="30"/>
      <c r="B120" s="30"/>
      <c r="C120" s="30"/>
      <c r="D120" s="31"/>
      <c r="E120" s="30"/>
      <c r="F120" s="30"/>
      <c r="G120" s="34"/>
      <c r="H120" s="34"/>
      <c r="I120" s="30"/>
      <c r="J120" s="30"/>
      <c r="K120" s="35">
        <v>45444</v>
      </c>
      <c r="L120" s="30"/>
      <c r="M120" s="30"/>
    </row>
    <row r="121" spans="1:13">
      <c r="A121" s="30"/>
      <c r="B121" s="30"/>
      <c r="C121" s="30"/>
      <c r="D121" s="31"/>
      <c r="E121" s="30"/>
      <c r="F121" s="30"/>
      <c r="G121" s="34"/>
      <c r="H121" s="34"/>
      <c r="I121" s="30"/>
      <c r="J121" s="30"/>
      <c r="K121" s="35"/>
      <c r="L121" s="30"/>
      <c r="M121" s="30"/>
    </row>
    <row r="122" spans="1:13">
      <c r="A122" s="30"/>
      <c r="B122" s="30"/>
      <c r="C122" s="30"/>
      <c r="D122" s="31"/>
      <c r="E122" s="30"/>
      <c r="F122" s="30"/>
      <c r="G122" s="34"/>
      <c r="H122" s="34"/>
      <c r="I122" s="30"/>
      <c r="J122" s="30"/>
      <c r="K122" s="35"/>
      <c r="L122" s="30"/>
      <c r="M122" s="30"/>
    </row>
    <row r="123" spans="1:13">
      <c r="A123" s="30"/>
      <c r="B123" s="30"/>
      <c r="C123" s="30"/>
      <c r="D123" s="31"/>
      <c r="E123" s="30"/>
      <c r="F123" s="30"/>
      <c r="G123" s="34"/>
      <c r="H123" s="34"/>
      <c r="I123" s="30"/>
      <c r="J123" s="30"/>
      <c r="K123" s="35">
        <v>45444</v>
      </c>
      <c r="L123" s="30"/>
      <c r="M123" s="30"/>
    </row>
    <row r="124" spans="1:13">
      <c r="A124" s="30"/>
      <c r="B124" s="30"/>
      <c r="C124" s="30"/>
      <c r="D124" s="31"/>
      <c r="E124" s="30"/>
      <c r="F124" s="30"/>
      <c r="G124" s="34"/>
      <c r="H124" s="34"/>
      <c r="I124" s="30"/>
      <c r="J124" s="30"/>
      <c r="K124" s="35">
        <v>45444</v>
      </c>
      <c r="L124" s="30"/>
      <c r="M124" s="30"/>
    </row>
    <row r="125" spans="1:13">
      <c r="A125" s="30"/>
      <c r="B125" s="30"/>
      <c r="C125" s="30"/>
      <c r="D125" s="31"/>
      <c r="E125" s="30"/>
      <c r="F125" s="30"/>
      <c r="G125" s="34"/>
      <c r="H125" s="34"/>
      <c r="I125" s="30"/>
      <c r="J125" s="30"/>
      <c r="K125" s="35">
        <v>45444</v>
      </c>
      <c r="L125" s="30"/>
      <c r="M125" s="30"/>
    </row>
    <row r="126" spans="1:13">
      <c r="A126" s="30"/>
      <c r="B126" s="30"/>
      <c r="C126" s="30"/>
      <c r="D126" s="31"/>
      <c r="E126" s="30"/>
      <c r="F126" s="30"/>
      <c r="G126" s="34"/>
      <c r="H126" s="34"/>
      <c r="I126" s="30"/>
      <c r="J126" s="30"/>
      <c r="K126" s="35"/>
      <c r="L126" s="30"/>
      <c r="M126" s="30"/>
    </row>
    <row r="127" spans="1:13">
      <c r="A127" s="30"/>
      <c r="B127" s="30"/>
      <c r="C127" s="30"/>
      <c r="D127" s="31"/>
      <c r="E127" s="30"/>
      <c r="F127" s="30"/>
      <c r="G127" s="34"/>
      <c r="H127" s="34"/>
      <c r="I127" s="30"/>
      <c r="J127" s="30"/>
      <c r="K127" s="35"/>
      <c r="L127" s="30"/>
      <c r="M127" s="30"/>
    </row>
    <row r="128" spans="1:13">
      <c r="A128" s="30"/>
      <c r="B128" s="30"/>
      <c r="C128" s="30"/>
      <c r="D128" s="31"/>
      <c r="E128" s="30"/>
      <c r="F128" s="30"/>
      <c r="G128" s="34"/>
      <c r="H128" s="34"/>
      <c r="I128" s="30"/>
      <c r="J128" s="30"/>
      <c r="K128" s="35">
        <v>45444</v>
      </c>
      <c r="L128" s="30"/>
      <c r="M128" s="30"/>
    </row>
    <row r="129" spans="1:13">
      <c r="A129" s="30"/>
      <c r="B129" s="30"/>
      <c r="C129" s="30"/>
      <c r="D129" s="31"/>
      <c r="E129" s="30"/>
      <c r="F129" s="30"/>
      <c r="G129" s="34"/>
      <c r="H129" s="34"/>
      <c r="I129" s="30"/>
      <c r="J129" s="30"/>
      <c r="K129" s="35">
        <v>45444</v>
      </c>
      <c r="L129" s="30"/>
      <c r="M129" s="30"/>
    </row>
    <row r="130" spans="1:13">
      <c r="A130" s="30"/>
      <c r="B130" s="30"/>
      <c r="C130" s="30"/>
      <c r="D130" s="31"/>
      <c r="E130" s="30"/>
      <c r="F130" s="30"/>
      <c r="G130" s="34"/>
      <c r="H130" s="34"/>
      <c r="I130" s="30"/>
      <c r="J130" s="30"/>
      <c r="K130" s="35">
        <v>45444</v>
      </c>
      <c r="L130" s="30"/>
      <c r="M130" s="30"/>
    </row>
    <row r="131" spans="1:13">
      <c r="A131" s="30"/>
      <c r="B131" s="30"/>
      <c r="C131" s="30"/>
      <c r="D131" s="31"/>
      <c r="E131" s="30"/>
      <c r="F131" s="30"/>
      <c r="G131" s="34"/>
      <c r="H131" s="34"/>
      <c r="I131" s="30"/>
      <c r="J131" s="30"/>
      <c r="K131" s="35"/>
      <c r="L131" s="30"/>
      <c r="M131" s="30"/>
    </row>
    <row r="132" spans="1:13">
      <c r="A132" s="30"/>
      <c r="B132" s="30"/>
      <c r="C132" s="30"/>
      <c r="D132" s="31"/>
      <c r="E132" s="30"/>
      <c r="F132" s="30"/>
      <c r="G132" s="34"/>
      <c r="H132" s="34"/>
      <c r="I132" s="30"/>
      <c r="J132" s="30"/>
      <c r="K132" s="35"/>
      <c r="L132" s="30"/>
      <c r="M132" s="30"/>
    </row>
    <row r="133" spans="1:13">
      <c r="A133" s="30"/>
      <c r="B133" s="30"/>
      <c r="C133" s="30"/>
      <c r="D133" s="31"/>
      <c r="E133" s="30"/>
      <c r="F133" s="30"/>
      <c r="G133" s="34"/>
      <c r="H133" s="34"/>
      <c r="I133" s="30"/>
      <c r="J133" s="30"/>
      <c r="K133" s="35">
        <v>45444</v>
      </c>
      <c r="L133" s="30"/>
      <c r="M133" s="30"/>
    </row>
    <row r="134" spans="1:13">
      <c r="A134" s="30"/>
      <c r="B134" s="30"/>
      <c r="C134" s="30"/>
      <c r="D134" s="31"/>
      <c r="E134" s="30"/>
      <c r="F134" s="30"/>
      <c r="G134" s="34"/>
      <c r="H134" s="34"/>
      <c r="I134" s="30"/>
      <c r="J134" s="30"/>
      <c r="K134" s="35">
        <v>45444</v>
      </c>
      <c r="L134" s="30"/>
      <c r="M134" s="30"/>
    </row>
    <row r="135" spans="1:13">
      <c r="A135" s="30"/>
      <c r="B135" s="30"/>
      <c r="C135" s="30"/>
      <c r="D135" s="31"/>
      <c r="E135" s="30"/>
      <c r="F135" s="30"/>
      <c r="G135" s="34"/>
      <c r="H135" s="34"/>
      <c r="I135" s="30"/>
      <c r="J135" s="30"/>
      <c r="K135" s="35">
        <v>45444</v>
      </c>
      <c r="L135" s="30"/>
      <c r="M135" s="30"/>
    </row>
    <row r="136" spans="1:13">
      <c r="A136" s="30"/>
      <c r="B136" s="30"/>
      <c r="C136" s="30"/>
      <c r="D136" s="31"/>
      <c r="E136" s="30"/>
      <c r="F136" s="30"/>
      <c r="G136" s="34"/>
      <c r="H136" s="34"/>
      <c r="I136" s="30"/>
      <c r="J136" s="30"/>
      <c r="K136" s="35"/>
      <c r="L136" s="30"/>
      <c r="M136" s="30"/>
    </row>
    <row r="137" spans="1:13">
      <c r="A137" s="30"/>
      <c r="B137" s="30"/>
      <c r="C137" s="30"/>
      <c r="D137" s="31"/>
      <c r="E137" s="30"/>
      <c r="F137" s="30"/>
      <c r="G137" s="34"/>
      <c r="H137" s="34"/>
      <c r="I137" s="30"/>
      <c r="J137" s="30"/>
      <c r="K137" s="35"/>
      <c r="L137" s="30"/>
      <c r="M137" s="30"/>
    </row>
    <row r="138" spans="1:13">
      <c r="A138" s="30"/>
      <c r="B138" s="30"/>
      <c r="C138" s="30"/>
      <c r="D138" s="31"/>
      <c r="E138" s="30"/>
      <c r="F138" s="30"/>
      <c r="G138" s="34"/>
      <c r="H138" s="34"/>
      <c r="I138" s="30"/>
      <c r="J138" s="30"/>
      <c r="K138" s="35">
        <v>45444</v>
      </c>
      <c r="L138" s="30"/>
      <c r="M138" s="30"/>
    </row>
    <row r="139" spans="1:13">
      <c r="A139" s="30"/>
      <c r="B139" s="30"/>
      <c r="C139" s="30"/>
      <c r="D139" s="31"/>
      <c r="E139" s="30"/>
      <c r="F139" s="30"/>
      <c r="G139" s="34"/>
      <c r="H139" s="34"/>
      <c r="I139" s="30"/>
      <c r="J139" s="30"/>
      <c r="K139" s="35">
        <v>45444</v>
      </c>
      <c r="L139" s="30"/>
      <c r="M139" s="30"/>
    </row>
    <row r="140" spans="1:13">
      <c r="A140" s="30"/>
      <c r="B140" s="30"/>
      <c r="C140" s="30"/>
      <c r="D140" s="31"/>
      <c r="E140" s="30"/>
      <c r="F140" s="30"/>
      <c r="G140" s="34"/>
      <c r="H140" s="34"/>
      <c r="I140" s="30"/>
      <c r="J140" s="30"/>
      <c r="K140" s="35">
        <v>45444</v>
      </c>
      <c r="L140" s="30"/>
      <c r="M140" s="30"/>
    </row>
    <row r="141" spans="1:13" ht="45">
      <c r="A141" s="30" t="s">
        <v>189</v>
      </c>
      <c r="B141" s="30" t="s">
        <v>34</v>
      </c>
      <c r="C141" s="30" t="s">
        <v>168</v>
      </c>
      <c r="D141" s="31">
        <v>2</v>
      </c>
      <c r="E141" s="30" t="s">
        <v>33</v>
      </c>
      <c r="F141" s="30" t="s">
        <v>209</v>
      </c>
      <c r="G141" s="34">
        <v>550</v>
      </c>
      <c r="H141" s="34">
        <f t="shared" ref="H141:H203" si="3">D141*G141</f>
        <v>1100</v>
      </c>
      <c r="I141" s="30" t="s">
        <v>20</v>
      </c>
      <c r="J141" s="30" t="s">
        <v>169</v>
      </c>
      <c r="K141" s="35">
        <v>45444</v>
      </c>
      <c r="L141" s="30" t="s">
        <v>20</v>
      </c>
      <c r="M141" s="30" t="s">
        <v>524</v>
      </c>
    </row>
    <row r="142" spans="1:13" ht="45">
      <c r="A142" s="30" t="s">
        <v>580</v>
      </c>
      <c r="B142" s="30" t="s">
        <v>34</v>
      </c>
      <c r="C142" s="30" t="s">
        <v>168</v>
      </c>
      <c r="D142" s="31">
        <v>15</v>
      </c>
      <c r="E142" s="30" t="s">
        <v>33</v>
      </c>
      <c r="F142" s="30" t="s">
        <v>209</v>
      </c>
      <c r="G142" s="34">
        <v>375</v>
      </c>
      <c r="H142" s="34">
        <f t="shared" si="3"/>
        <v>5625</v>
      </c>
      <c r="I142" s="30" t="s">
        <v>20</v>
      </c>
      <c r="J142" s="30" t="s">
        <v>21</v>
      </c>
      <c r="K142" s="35">
        <v>45444</v>
      </c>
      <c r="L142" s="30" t="s">
        <v>20</v>
      </c>
      <c r="M142" s="30" t="s">
        <v>524</v>
      </c>
    </row>
    <row r="143" spans="1:13" ht="45">
      <c r="A143" s="30"/>
      <c r="B143" s="30"/>
      <c r="C143" s="30"/>
      <c r="D143" s="31"/>
      <c r="E143" s="30"/>
      <c r="F143" s="30"/>
      <c r="G143" s="34"/>
      <c r="H143" s="34"/>
      <c r="I143" s="30"/>
      <c r="J143" s="30"/>
      <c r="K143" s="35">
        <v>45444</v>
      </c>
      <c r="L143" s="30"/>
      <c r="M143" s="30" t="s">
        <v>524</v>
      </c>
    </row>
    <row r="144" spans="1:13">
      <c r="A144" s="30"/>
      <c r="B144" s="30"/>
      <c r="C144" s="30"/>
      <c r="D144" s="31"/>
      <c r="E144" s="30"/>
      <c r="F144" s="30"/>
      <c r="G144" s="34"/>
      <c r="H144" s="34"/>
      <c r="I144" s="30"/>
      <c r="J144" s="30"/>
      <c r="K144" s="35">
        <v>45444</v>
      </c>
      <c r="L144" s="30"/>
      <c r="M144" s="30"/>
    </row>
    <row r="145" spans="1:13" ht="45">
      <c r="A145" s="30" t="s">
        <v>186</v>
      </c>
      <c r="B145" s="30" t="s">
        <v>34</v>
      </c>
      <c r="C145" s="30" t="s">
        <v>168</v>
      </c>
      <c r="D145" s="31">
        <v>500</v>
      </c>
      <c r="E145" s="30" t="s">
        <v>33</v>
      </c>
      <c r="F145" s="30" t="s">
        <v>235</v>
      </c>
      <c r="G145" s="34">
        <v>200</v>
      </c>
      <c r="H145" s="34">
        <f t="shared" si="3"/>
        <v>100000</v>
      </c>
      <c r="I145" s="30" t="s">
        <v>20</v>
      </c>
      <c r="J145" s="30" t="s">
        <v>21</v>
      </c>
      <c r="K145" s="35">
        <v>45444</v>
      </c>
      <c r="L145" s="30" t="s">
        <v>20</v>
      </c>
      <c r="M145" s="30" t="s">
        <v>524</v>
      </c>
    </row>
    <row r="146" spans="1:13" ht="45">
      <c r="A146" s="30" t="s">
        <v>297</v>
      </c>
      <c r="B146" s="30" t="s">
        <v>34</v>
      </c>
      <c r="C146" s="30" t="s">
        <v>35</v>
      </c>
      <c r="D146" s="31">
        <v>300</v>
      </c>
      <c r="E146" s="30" t="s">
        <v>52</v>
      </c>
      <c r="F146" s="30" t="s">
        <v>211</v>
      </c>
      <c r="G146" s="34">
        <v>4.5360000000000005</v>
      </c>
      <c r="H146" s="34">
        <f t="shared" si="3"/>
        <v>1360.8000000000002</v>
      </c>
      <c r="I146" s="30" t="s">
        <v>20</v>
      </c>
      <c r="J146" s="30" t="s">
        <v>36</v>
      </c>
      <c r="K146" s="35">
        <v>45444</v>
      </c>
      <c r="L146" s="30" t="s">
        <v>20</v>
      </c>
      <c r="M146" s="30" t="s">
        <v>524</v>
      </c>
    </row>
    <row r="147" spans="1:13" ht="45">
      <c r="A147" s="30" t="s">
        <v>88</v>
      </c>
      <c r="B147" s="30" t="s">
        <v>34</v>
      </c>
      <c r="C147" s="30" t="s">
        <v>35</v>
      </c>
      <c r="D147" s="31">
        <v>1000</v>
      </c>
      <c r="E147" s="30" t="s">
        <v>89</v>
      </c>
      <c r="F147" s="30" t="s">
        <v>211</v>
      </c>
      <c r="G147" s="34">
        <v>1.1340000000000001</v>
      </c>
      <c r="H147" s="34">
        <f t="shared" si="3"/>
        <v>1134.0000000000002</v>
      </c>
      <c r="I147" s="30" t="s">
        <v>20</v>
      </c>
      <c r="J147" s="30" t="s">
        <v>169</v>
      </c>
      <c r="K147" s="35">
        <v>45444</v>
      </c>
      <c r="L147" s="30" t="s">
        <v>20</v>
      </c>
      <c r="M147" s="30" t="s">
        <v>524</v>
      </c>
    </row>
    <row r="148" spans="1:13" ht="45">
      <c r="A148" s="30" t="s">
        <v>298</v>
      </c>
      <c r="B148" s="30" t="s">
        <v>34</v>
      </c>
      <c r="C148" s="30" t="s">
        <v>35</v>
      </c>
      <c r="D148" s="31">
        <v>4</v>
      </c>
      <c r="E148" s="30" t="s">
        <v>33</v>
      </c>
      <c r="F148" s="30" t="s">
        <v>211</v>
      </c>
      <c r="G148" s="34">
        <v>150.69</v>
      </c>
      <c r="H148" s="34">
        <f t="shared" si="3"/>
        <v>602.76</v>
      </c>
      <c r="I148" s="30" t="s">
        <v>20</v>
      </c>
      <c r="J148" s="30" t="s">
        <v>36</v>
      </c>
      <c r="K148" s="35">
        <v>45444</v>
      </c>
      <c r="L148" s="30" t="s">
        <v>20</v>
      </c>
      <c r="M148" s="30" t="s">
        <v>524</v>
      </c>
    </row>
    <row r="149" spans="1:13" ht="45">
      <c r="A149" s="30" t="s">
        <v>44</v>
      </c>
      <c r="B149" s="30" t="s">
        <v>34</v>
      </c>
      <c r="C149" s="30" t="s">
        <v>35</v>
      </c>
      <c r="D149" s="31">
        <v>10</v>
      </c>
      <c r="E149" s="30" t="s">
        <v>57</v>
      </c>
      <c r="F149" s="30" t="s">
        <v>211</v>
      </c>
      <c r="G149" s="34">
        <v>6.5</v>
      </c>
      <c r="H149" s="34">
        <f t="shared" si="3"/>
        <v>65</v>
      </c>
      <c r="I149" s="30" t="s">
        <v>20</v>
      </c>
      <c r="J149" s="30" t="s">
        <v>36</v>
      </c>
      <c r="K149" s="35">
        <v>45444</v>
      </c>
      <c r="L149" s="30" t="s">
        <v>20</v>
      </c>
      <c r="M149" s="30" t="s">
        <v>524</v>
      </c>
    </row>
    <row r="150" spans="1:13">
      <c r="A150" s="30"/>
      <c r="B150" s="30"/>
      <c r="C150" s="30"/>
      <c r="D150" s="31"/>
      <c r="E150" s="30"/>
      <c r="F150" s="30"/>
      <c r="G150" s="34"/>
      <c r="H150" s="34"/>
      <c r="I150" s="30"/>
      <c r="J150" s="30"/>
      <c r="K150" s="35">
        <v>45444</v>
      </c>
      <c r="L150" s="30"/>
      <c r="M150" s="30"/>
    </row>
    <row r="151" spans="1:13" ht="45">
      <c r="A151" s="30" t="s">
        <v>299</v>
      </c>
      <c r="B151" s="30" t="s">
        <v>34</v>
      </c>
      <c r="C151" s="30" t="s">
        <v>35</v>
      </c>
      <c r="D151" s="31">
        <v>100</v>
      </c>
      <c r="E151" s="30" t="s">
        <v>52</v>
      </c>
      <c r="F151" s="30" t="s">
        <v>211</v>
      </c>
      <c r="G151" s="34">
        <v>2.1816</v>
      </c>
      <c r="H151" s="34">
        <f t="shared" si="3"/>
        <v>218.16</v>
      </c>
      <c r="I151" s="30" t="s">
        <v>20</v>
      </c>
      <c r="J151" s="30" t="s">
        <v>36</v>
      </c>
      <c r="K151" s="35">
        <v>45444</v>
      </c>
      <c r="L151" s="30" t="s">
        <v>20</v>
      </c>
      <c r="M151" s="30" t="s">
        <v>524</v>
      </c>
    </row>
    <row r="152" spans="1:13">
      <c r="A152" s="30"/>
      <c r="B152" s="30"/>
      <c r="C152" s="30"/>
      <c r="D152" s="31"/>
      <c r="E152" s="30"/>
      <c r="F152" s="30"/>
      <c r="G152" s="34"/>
      <c r="H152" s="34"/>
      <c r="I152" s="30"/>
      <c r="J152" s="30"/>
      <c r="K152" s="35"/>
      <c r="L152" s="30"/>
      <c r="M152" s="30"/>
    </row>
    <row r="153" spans="1:13">
      <c r="A153" s="30"/>
      <c r="B153" s="30"/>
      <c r="C153" s="30"/>
      <c r="D153" s="31"/>
      <c r="E153" s="30"/>
      <c r="F153" s="30"/>
      <c r="G153" s="34"/>
      <c r="H153" s="34"/>
      <c r="I153" s="30"/>
      <c r="J153" s="30"/>
      <c r="K153" s="35">
        <v>45444</v>
      </c>
      <c r="L153" s="30"/>
      <c r="M153" s="30"/>
    </row>
    <row r="154" spans="1:13">
      <c r="A154" s="30"/>
      <c r="B154" s="30"/>
      <c r="C154" s="30"/>
      <c r="D154" s="31"/>
      <c r="E154" s="30"/>
      <c r="F154" s="30"/>
      <c r="G154" s="34"/>
      <c r="H154" s="34"/>
      <c r="I154" s="30"/>
      <c r="J154" s="30"/>
      <c r="K154" s="35">
        <v>45444</v>
      </c>
      <c r="L154" s="30"/>
      <c r="M154" s="30"/>
    </row>
    <row r="155" spans="1:13" ht="60">
      <c r="A155" s="30" t="s">
        <v>90</v>
      </c>
      <c r="B155" s="30" t="s">
        <v>34</v>
      </c>
      <c r="C155" s="30" t="s">
        <v>35</v>
      </c>
      <c r="D155" s="31">
        <v>120</v>
      </c>
      <c r="E155" s="30" t="s">
        <v>52</v>
      </c>
      <c r="F155" s="30" t="s">
        <v>251</v>
      </c>
      <c r="G155" s="34">
        <v>34.56</v>
      </c>
      <c r="H155" s="34">
        <f t="shared" si="3"/>
        <v>4147.2000000000007</v>
      </c>
      <c r="I155" s="30" t="s">
        <v>20</v>
      </c>
      <c r="J155" s="30" t="s">
        <v>169</v>
      </c>
      <c r="K155" s="35">
        <v>45444</v>
      </c>
      <c r="L155" s="30" t="s">
        <v>20</v>
      </c>
      <c r="M155" s="30" t="s">
        <v>524</v>
      </c>
    </row>
    <row r="156" spans="1:13" ht="60">
      <c r="A156" s="30" t="s">
        <v>93</v>
      </c>
      <c r="B156" s="30" t="s">
        <v>34</v>
      </c>
      <c r="C156" s="30" t="s">
        <v>35</v>
      </c>
      <c r="D156" s="31">
        <v>6</v>
      </c>
      <c r="E156" s="30" t="s">
        <v>33</v>
      </c>
      <c r="F156" s="30" t="s">
        <v>251</v>
      </c>
      <c r="G156" s="34">
        <v>32.886000000000003</v>
      </c>
      <c r="H156" s="34">
        <f t="shared" si="3"/>
        <v>197.31600000000003</v>
      </c>
      <c r="I156" s="30" t="s">
        <v>20</v>
      </c>
      <c r="J156" s="30" t="s">
        <v>169</v>
      </c>
      <c r="K156" s="35">
        <v>45444</v>
      </c>
      <c r="L156" s="30" t="s">
        <v>20</v>
      </c>
      <c r="M156" s="30" t="s">
        <v>524</v>
      </c>
    </row>
    <row r="157" spans="1:13" ht="60">
      <c r="A157" s="30" t="s">
        <v>77</v>
      </c>
      <c r="B157" s="30" t="s">
        <v>34</v>
      </c>
      <c r="C157" s="30" t="s">
        <v>35</v>
      </c>
      <c r="D157" s="31">
        <v>5</v>
      </c>
      <c r="E157" s="30" t="s">
        <v>57</v>
      </c>
      <c r="F157" s="30" t="s">
        <v>251</v>
      </c>
      <c r="G157" s="34">
        <v>35.64</v>
      </c>
      <c r="H157" s="34">
        <f t="shared" si="3"/>
        <v>178.2</v>
      </c>
      <c r="I157" s="30" t="s">
        <v>20</v>
      </c>
      <c r="J157" s="30" t="s">
        <v>169</v>
      </c>
      <c r="K157" s="35"/>
      <c r="L157" s="30" t="s">
        <v>20</v>
      </c>
      <c r="M157" s="30" t="s">
        <v>524</v>
      </c>
    </row>
    <row r="158" spans="1:13">
      <c r="A158" s="30"/>
      <c r="B158" s="30"/>
      <c r="C158" s="30"/>
      <c r="D158" s="31"/>
      <c r="E158" s="30"/>
      <c r="F158" s="30"/>
      <c r="G158" s="34"/>
      <c r="H158" s="34"/>
      <c r="I158" s="30"/>
      <c r="J158" s="30"/>
      <c r="K158" s="35">
        <v>45444</v>
      </c>
      <c r="L158" s="30"/>
      <c r="M158" s="30"/>
    </row>
    <row r="159" spans="1:13" ht="60">
      <c r="A159" s="30" t="s">
        <v>53</v>
      </c>
      <c r="B159" s="30" t="s">
        <v>34</v>
      </c>
      <c r="C159" s="30" t="s">
        <v>35</v>
      </c>
      <c r="D159" s="31">
        <v>100</v>
      </c>
      <c r="E159" s="30" t="s">
        <v>33</v>
      </c>
      <c r="F159" s="30" t="s">
        <v>251</v>
      </c>
      <c r="G159" s="34">
        <v>0.90720000000000001</v>
      </c>
      <c r="H159" s="34">
        <f t="shared" si="3"/>
        <v>90.72</v>
      </c>
      <c r="I159" s="30" t="s">
        <v>20</v>
      </c>
      <c r="J159" s="30" t="s">
        <v>169</v>
      </c>
      <c r="K159" s="35">
        <v>45444</v>
      </c>
      <c r="L159" s="30" t="s">
        <v>20</v>
      </c>
      <c r="M159" s="30" t="s">
        <v>524</v>
      </c>
    </row>
    <row r="160" spans="1:13" ht="60">
      <c r="A160" s="30" t="s">
        <v>61</v>
      </c>
      <c r="B160" s="30" t="s">
        <v>34</v>
      </c>
      <c r="C160" s="30" t="s">
        <v>35</v>
      </c>
      <c r="D160" s="31">
        <v>5</v>
      </c>
      <c r="E160" s="30" t="s">
        <v>52</v>
      </c>
      <c r="F160" s="30" t="s">
        <v>251</v>
      </c>
      <c r="G160" s="34">
        <v>0.6</v>
      </c>
      <c r="H160" s="34">
        <f t="shared" si="3"/>
        <v>3</v>
      </c>
      <c r="I160" s="30" t="s">
        <v>20</v>
      </c>
      <c r="J160" s="30" t="s">
        <v>169</v>
      </c>
      <c r="K160" s="35">
        <v>45444</v>
      </c>
      <c r="L160" s="30" t="s">
        <v>20</v>
      </c>
      <c r="M160" s="30" t="s">
        <v>524</v>
      </c>
    </row>
    <row r="161" spans="1:13" ht="60">
      <c r="A161" s="30" t="s">
        <v>78</v>
      </c>
      <c r="B161" s="30" t="s">
        <v>34</v>
      </c>
      <c r="C161" s="30" t="s">
        <v>35</v>
      </c>
      <c r="D161" s="31">
        <v>6</v>
      </c>
      <c r="E161" s="30" t="s">
        <v>57</v>
      </c>
      <c r="F161" s="30" t="s">
        <v>251</v>
      </c>
      <c r="G161" s="34">
        <v>18.144000000000002</v>
      </c>
      <c r="H161" s="34">
        <f t="shared" si="3"/>
        <v>108.864</v>
      </c>
      <c r="I161" s="30" t="s">
        <v>20</v>
      </c>
      <c r="J161" s="30" t="s">
        <v>169</v>
      </c>
      <c r="K161" s="35">
        <v>45444</v>
      </c>
      <c r="L161" s="30" t="s">
        <v>20</v>
      </c>
      <c r="M161" s="30" t="s">
        <v>524</v>
      </c>
    </row>
    <row r="162" spans="1:13" ht="60">
      <c r="A162" s="30" t="s">
        <v>109</v>
      </c>
      <c r="B162" s="30" t="s">
        <v>34</v>
      </c>
      <c r="C162" s="30" t="s">
        <v>35</v>
      </c>
      <c r="D162" s="31">
        <v>2</v>
      </c>
      <c r="E162" s="30" t="s">
        <v>33</v>
      </c>
      <c r="F162" s="30" t="s">
        <v>251</v>
      </c>
      <c r="G162" s="34">
        <v>40.823999999999998</v>
      </c>
      <c r="H162" s="34">
        <f t="shared" si="3"/>
        <v>81.647999999999996</v>
      </c>
      <c r="I162" s="30" t="s">
        <v>20</v>
      </c>
      <c r="J162" s="30" t="s">
        <v>169</v>
      </c>
      <c r="K162" s="35">
        <v>45444</v>
      </c>
      <c r="L162" s="30" t="s">
        <v>20</v>
      </c>
      <c r="M162" s="30" t="s">
        <v>524</v>
      </c>
    </row>
    <row r="163" spans="1:13" ht="60">
      <c r="A163" s="30" t="s">
        <v>97</v>
      </c>
      <c r="B163" s="30" t="s">
        <v>34</v>
      </c>
      <c r="C163" s="30" t="s">
        <v>35</v>
      </c>
      <c r="D163" s="31">
        <v>2</v>
      </c>
      <c r="E163" s="30" t="s">
        <v>33</v>
      </c>
      <c r="F163" s="30" t="s">
        <v>251</v>
      </c>
      <c r="G163" s="34">
        <v>38.620800000000003</v>
      </c>
      <c r="H163" s="34">
        <f t="shared" si="3"/>
        <v>77.241600000000005</v>
      </c>
      <c r="I163" s="30" t="s">
        <v>20</v>
      </c>
      <c r="J163" s="30" t="s">
        <v>169</v>
      </c>
      <c r="K163" s="35">
        <v>45444</v>
      </c>
      <c r="L163" s="30" t="s">
        <v>20</v>
      </c>
      <c r="M163" s="30" t="s">
        <v>524</v>
      </c>
    </row>
    <row r="164" spans="1:13" ht="60">
      <c r="A164" s="30" t="s">
        <v>79</v>
      </c>
      <c r="B164" s="30" t="s">
        <v>34</v>
      </c>
      <c r="C164" s="30" t="s">
        <v>35</v>
      </c>
      <c r="D164" s="31">
        <v>3</v>
      </c>
      <c r="E164" s="30" t="s">
        <v>33</v>
      </c>
      <c r="F164" s="30" t="s">
        <v>251</v>
      </c>
      <c r="G164" s="34">
        <v>13.608000000000001</v>
      </c>
      <c r="H164" s="34">
        <f t="shared" si="3"/>
        <v>40.823999999999998</v>
      </c>
      <c r="I164" s="30" t="s">
        <v>20</v>
      </c>
      <c r="J164" s="30" t="s">
        <v>169</v>
      </c>
      <c r="K164" s="35">
        <v>45444</v>
      </c>
      <c r="L164" s="30" t="s">
        <v>20</v>
      </c>
      <c r="M164" s="30" t="s">
        <v>524</v>
      </c>
    </row>
    <row r="165" spans="1:13" ht="60">
      <c r="A165" s="30" t="s">
        <v>80</v>
      </c>
      <c r="B165" s="30" t="s">
        <v>34</v>
      </c>
      <c r="C165" s="30" t="s">
        <v>35</v>
      </c>
      <c r="D165" s="31">
        <v>5</v>
      </c>
      <c r="E165" s="30" t="s">
        <v>33</v>
      </c>
      <c r="F165" s="30" t="s">
        <v>251</v>
      </c>
      <c r="G165" s="34">
        <v>13.608000000000001</v>
      </c>
      <c r="H165" s="34">
        <f t="shared" si="3"/>
        <v>68.040000000000006</v>
      </c>
      <c r="I165" s="30" t="s">
        <v>20</v>
      </c>
      <c r="J165" s="30" t="s">
        <v>169</v>
      </c>
      <c r="K165" s="35">
        <v>45444</v>
      </c>
      <c r="L165" s="30" t="s">
        <v>20</v>
      </c>
      <c r="M165" s="30" t="s">
        <v>524</v>
      </c>
    </row>
    <row r="166" spans="1:13" ht="60">
      <c r="A166" s="30" t="s">
        <v>76</v>
      </c>
      <c r="B166" s="30" t="s">
        <v>34</v>
      </c>
      <c r="C166" s="30" t="s">
        <v>35</v>
      </c>
      <c r="D166" s="31">
        <v>2</v>
      </c>
      <c r="E166" s="30" t="s">
        <v>33</v>
      </c>
      <c r="F166" s="30" t="s">
        <v>251</v>
      </c>
      <c r="G166" s="34">
        <v>29.700000000000003</v>
      </c>
      <c r="H166" s="34">
        <f t="shared" si="3"/>
        <v>59.400000000000006</v>
      </c>
      <c r="I166" s="30" t="s">
        <v>20</v>
      </c>
      <c r="J166" s="30" t="s">
        <v>169</v>
      </c>
      <c r="K166" s="35">
        <v>45444</v>
      </c>
      <c r="L166" s="30" t="s">
        <v>20</v>
      </c>
      <c r="M166" s="30" t="s">
        <v>524</v>
      </c>
    </row>
    <row r="167" spans="1:13" ht="60">
      <c r="A167" s="30" t="s">
        <v>71</v>
      </c>
      <c r="B167" s="30" t="s">
        <v>34</v>
      </c>
      <c r="C167" s="30" t="s">
        <v>35</v>
      </c>
      <c r="D167" s="31">
        <v>10</v>
      </c>
      <c r="E167" s="30" t="s">
        <v>33</v>
      </c>
      <c r="F167" s="30" t="s">
        <v>251</v>
      </c>
      <c r="G167" s="34">
        <v>6.8579999999999997</v>
      </c>
      <c r="H167" s="34">
        <f t="shared" si="3"/>
        <v>68.58</v>
      </c>
      <c r="I167" s="30" t="s">
        <v>20</v>
      </c>
      <c r="J167" s="30" t="s">
        <v>169</v>
      </c>
      <c r="K167" s="35">
        <v>45444</v>
      </c>
      <c r="L167" s="30" t="s">
        <v>20</v>
      </c>
      <c r="M167" s="30" t="s">
        <v>524</v>
      </c>
    </row>
    <row r="168" spans="1:13" ht="60">
      <c r="A168" s="30" t="s">
        <v>51</v>
      </c>
      <c r="B168" s="30" t="s">
        <v>34</v>
      </c>
      <c r="C168" s="30" t="s">
        <v>35</v>
      </c>
      <c r="D168" s="31">
        <v>1</v>
      </c>
      <c r="E168" s="30" t="s">
        <v>52</v>
      </c>
      <c r="F168" s="30" t="s">
        <v>251</v>
      </c>
      <c r="G168" s="34">
        <v>40.823999999999998</v>
      </c>
      <c r="H168" s="34">
        <f t="shared" si="3"/>
        <v>40.823999999999998</v>
      </c>
      <c r="I168" s="30" t="s">
        <v>20</v>
      </c>
      <c r="J168" s="30" t="s">
        <v>169</v>
      </c>
      <c r="K168" s="35">
        <v>45444</v>
      </c>
      <c r="L168" s="30" t="s">
        <v>20</v>
      </c>
      <c r="M168" s="30" t="s">
        <v>524</v>
      </c>
    </row>
    <row r="169" spans="1:13" ht="60">
      <c r="A169" s="30" t="s">
        <v>98</v>
      </c>
      <c r="B169" s="30" t="s">
        <v>34</v>
      </c>
      <c r="C169" s="30" t="s">
        <v>35</v>
      </c>
      <c r="D169" s="31">
        <v>3</v>
      </c>
      <c r="E169" s="30" t="s">
        <v>33</v>
      </c>
      <c r="F169" s="30" t="s">
        <v>251</v>
      </c>
      <c r="G169" s="34">
        <v>13.155999999999999</v>
      </c>
      <c r="H169" s="34">
        <f t="shared" si="3"/>
        <v>39.467999999999996</v>
      </c>
      <c r="I169" s="30" t="s">
        <v>20</v>
      </c>
      <c r="J169" s="30" t="s">
        <v>169</v>
      </c>
      <c r="K169" s="35">
        <v>45444</v>
      </c>
      <c r="L169" s="30" t="s">
        <v>20</v>
      </c>
      <c r="M169" s="30" t="s">
        <v>524</v>
      </c>
    </row>
    <row r="170" spans="1:13">
      <c r="A170" s="30"/>
      <c r="B170" s="30"/>
      <c r="C170" s="30"/>
      <c r="D170" s="31"/>
      <c r="E170" s="30"/>
      <c r="F170" s="30"/>
      <c r="G170" s="34"/>
      <c r="H170" s="34"/>
      <c r="I170" s="30"/>
      <c r="J170" s="30"/>
      <c r="K170" s="35">
        <v>45444</v>
      </c>
      <c r="L170" s="30"/>
      <c r="M170" s="30"/>
    </row>
    <row r="171" spans="1:13">
      <c r="A171" s="30"/>
      <c r="B171" s="30"/>
      <c r="C171" s="30"/>
      <c r="D171" s="31"/>
      <c r="E171" s="30"/>
      <c r="F171" s="30"/>
      <c r="G171" s="34"/>
      <c r="H171" s="34"/>
      <c r="I171" s="30"/>
      <c r="J171" s="30"/>
      <c r="K171" s="35"/>
      <c r="L171" s="30"/>
      <c r="M171" s="30"/>
    </row>
    <row r="172" spans="1:13">
      <c r="A172" s="30"/>
      <c r="B172" s="30"/>
      <c r="C172" s="30"/>
      <c r="D172" s="31"/>
      <c r="E172" s="30"/>
      <c r="F172" s="30"/>
      <c r="G172" s="34"/>
      <c r="H172" s="34"/>
      <c r="I172" s="30"/>
      <c r="J172" s="30"/>
      <c r="K172" s="35"/>
      <c r="L172" s="30"/>
      <c r="M172" s="30"/>
    </row>
    <row r="173" spans="1:13" ht="60">
      <c r="A173" s="30" t="s">
        <v>67</v>
      </c>
      <c r="B173" s="30" t="s">
        <v>34</v>
      </c>
      <c r="C173" s="30" t="s">
        <v>35</v>
      </c>
      <c r="D173" s="31">
        <v>3</v>
      </c>
      <c r="E173" s="30" t="s">
        <v>33</v>
      </c>
      <c r="F173" s="30" t="s">
        <v>251</v>
      </c>
      <c r="G173" s="34">
        <v>3.1752000000000002</v>
      </c>
      <c r="H173" s="34">
        <f t="shared" si="3"/>
        <v>9.5256000000000007</v>
      </c>
      <c r="I173" s="30" t="s">
        <v>20</v>
      </c>
      <c r="J173" s="30" t="s">
        <v>169</v>
      </c>
      <c r="K173" s="35">
        <v>45444</v>
      </c>
      <c r="L173" s="30" t="s">
        <v>20</v>
      </c>
      <c r="M173" s="30" t="s">
        <v>524</v>
      </c>
    </row>
    <row r="174" spans="1:13" ht="60">
      <c r="A174" s="30" t="s">
        <v>69</v>
      </c>
      <c r="B174" s="30" t="s">
        <v>34</v>
      </c>
      <c r="C174" s="30" t="s">
        <v>35</v>
      </c>
      <c r="D174" s="31">
        <v>3</v>
      </c>
      <c r="E174" s="30" t="s">
        <v>33</v>
      </c>
      <c r="F174" s="30" t="s">
        <v>251</v>
      </c>
      <c r="G174" s="34">
        <v>3.528</v>
      </c>
      <c r="H174" s="34">
        <f t="shared" si="3"/>
        <v>10.584</v>
      </c>
      <c r="I174" s="30" t="s">
        <v>20</v>
      </c>
      <c r="J174" s="30" t="s">
        <v>169</v>
      </c>
      <c r="K174" s="35">
        <v>45444</v>
      </c>
      <c r="L174" s="30" t="s">
        <v>20</v>
      </c>
      <c r="M174" s="30" t="s">
        <v>524</v>
      </c>
    </row>
    <row r="175" spans="1:13" ht="60">
      <c r="A175" s="30" t="s">
        <v>56</v>
      </c>
      <c r="B175" s="30" t="s">
        <v>34</v>
      </c>
      <c r="C175" s="30" t="s">
        <v>35</v>
      </c>
      <c r="D175" s="31">
        <v>3</v>
      </c>
      <c r="E175" s="30" t="s">
        <v>57</v>
      </c>
      <c r="F175" s="30" t="s">
        <v>251</v>
      </c>
      <c r="G175" s="34">
        <v>2.2680000000000002</v>
      </c>
      <c r="H175" s="34">
        <f t="shared" si="3"/>
        <v>6.8040000000000003</v>
      </c>
      <c r="I175" s="30" t="s">
        <v>20</v>
      </c>
      <c r="J175" s="30" t="s">
        <v>169</v>
      </c>
      <c r="K175" s="35">
        <v>45444</v>
      </c>
      <c r="L175" s="30" t="s">
        <v>20</v>
      </c>
      <c r="M175" s="30" t="s">
        <v>524</v>
      </c>
    </row>
    <row r="176" spans="1:13">
      <c r="A176" s="30"/>
      <c r="B176" s="30"/>
      <c r="C176" s="30"/>
      <c r="D176" s="31"/>
      <c r="E176" s="30"/>
      <c r="F176" s="30"/>
      <c r="G176" s="34"/>
      <c r="H176" s="34"/>
      <c r="I176" s="30"/>
      <c r="J176" s="30"/>
      <c r="K176" s="35"/>
      <c r="L176" s="30"/>
      <c r="M176" s="30"/>
    </row>
    <row r="177" spans="1:13">
      <c r="A177" s="30"/>
      <c r="B177" s="30"/>
      <c r="C177" s="30"/>
      <c r="D177" s="31"/>
      <c r="E177" s="30"/>
      <c r="F177" s="30"/>
      <c r="G177" s="34"/>
      <c r="H177" s="34"/>
      <c r="I177" s="30"/>
      <c r="J177" s="30"/>
      <c r="K177" s="35"/>
      <c r="L177" s="30"/>
      <c r="M177" s="30"/>
    </row>
    <row r="178" spans="1:13" ht="60">
      <c r="A178" s="30" t="s">
        <v>280</v>
      </c>
      <c r="B178" s="30" t="s">
        <v>34</v>
      </c>
      <c r="C178" s="30" t="s">
        <v>35</v>
      </c>
      <c r="D178" s="31">
        <v>3</v>
      </c>
      <c r="E178" s="30" t="s">
        <v>33</v>
      </c>
      <c r="F178" s="30" t="s">
        <v>251</v>
      </c>
      <c r="G178" s="34">
        <v>3.1752000000000002</v>
      </c>
      <c r="H178" s="34">
        <f t="shared" si="3"/>
        <v>9.5256000000000007</v>
      </c>
      <c r="I178" s="30" t="s">
        <v>20</v>
      </c>
      <c r="J178" s="30" t="s">
        <v>169</v>
      </c>
      <c r="K178" s="35">
        <v>45444</v>
      </c>
      <c r="L178" s="30" t="s">
        <v>20</v>
      </c>
      <c r="M178" s="30" t="s">
        <v>524</v>
      </c>
    </row>
    <row r="179" spans="1:13">
      <c r="A179" s="30"/>
      <c r="B179" s="30"/>
      <c r="C179" s="30"/>
      <c r="D179" s="31"/>
      <c r="E179" s="30"/>
      <c r="F179" s="30"/>
      <c r="G179" s="34"/>
      <c r="H179" s="34"/>
      <c r="I179" s="30"/>
      <c r="J179" s="30"/>
      <c r="K179" s="35">
        <v>45444</v>
      </c>
      <c r="L179" s="30"/>
      <c r="M179" s="30"/>
    </row>
    <row r="180" spans="1:13" ht="60">
      <c r="A180" s="30" t="s">
        <v>94</v>
      </c>
      <c r="B180" s="30" t="s">
        <v>34</v>
      </c>
      <c r="C180" s="30" t="s">
        <v>35</v>
      </c>
      <c r="D180" s="31">
        <v>6</v>
      </c>
      <c r="E180" s="30" t="s">
        <v>33</v>
      </c>
      <c r="F180" s="30" t="s">
        <v>251</v>
      </c>
      <c r="G180" s="34">
        <v>2.016</v>
      </c>
      <c r="H180" s="34">
        <f t="shared" si="3"/>
        <v>12.096</v>
      </c>
      <c r="I180" s="30" t="s">
        <v>20</v>
      </c>
      <c r="J180" s="30" t="s">
        <v>169</v>
      </c>
      <c r="K180" s="35">
        <v>45444</v>
      </c>
      <c r="L180" s="30" t="s">
        <v>20</v>
      </c>
      <c r="M180" s="30" t="s">
        <v>524</v>
      </c>
    </row>
    <row r="181" spans="1:13" ht="60">
      <c r="A181" s="30" t="s">
        <v>281</v>
      </c>
      <c r="B181" s="30" t="s">
        <v>34</v>
      </c>
      <c r="C181" s="30" t="s">
        <v>35</v>
      </c>
      <c r="D181" s="31">
        <v>2</v>
      </c>
      <c r="E181" s="30" t="s">
        <v>33</v>
      </c>
      <c r="F181" s="30" t="s">
        <v>251</v>
      </c>
      <c r="G181" s="34">
        <v>5.8500000000000005</v>
      </c>
      <c r="H181" s="34">
        <f t="shared" si="3"/>
        <v>11.700000000000001</v>
      </c>
      <c r="I181" s="30" t="s">
        <v>20</v>
      </c>
      <c r="J181" s="30" t="s">
        <v>169</v>
      </c>
      <c r="K181" s="35">
        <v>45444</v>
      </c>
      <c r="L181" s="30" t="s">
        <v>20</v>
      </c>
      <c r="M181" s="30" t="s">
        <v>524</v>
      </c>
    </row>
    <row r="182" spans="1:13">
      <c r="A182" s="30"/>
      <c r="B182" s="30"/>
      <c r="C182" s="30"/>
      <c r="D182" s="31"/>
      <c r="E182" s="30"/>
      <c r="F182" s="30"/>
      <c r="G182" s="34"/>
      <c r="H182" s="34"/>
      <c r="I182" s="30"/>
      <c r="J182" s="30"/>
      <c r="K182" s="35"/>
      <c r="L182" s="30"/>
      <c r="M182" s="30"/>
    </row>
    <row r="183" spans="1:13">
      <c r="A183" s="30"/>
      <c r="B183" s="30"/>
      <c r="C183" s="30"/>
      <c r="D183" s="31"/>
      <c r="E183" s="30"/>
      <c r="F183" s="30"/>
      <c r="G183" s="34"/>
      <c r="H183" s="34"/>
      <c r="I183" s="30"/>
      <c r="J183" s="30"/>
      <c r="K183" s="35">
        <v>45444</v>
      </c>
      <c r="L183" s="30"/>
      <c r="M183" s="30"/>
    </row>
    <row r="184" spans="1:13" ht="60">
      <c r="A184" s="30" t="s">
        <v>55</v>
      </c>
      <c r="B184" s="30" t="s">
        <v>34</v>
      </c>
      <c r="C184" s="30" t="s">
        <v>35</v>
      </c>
      <c r="D184" s="31">
        <v>3</v>
      </c>
      <c r="E184" s="30" t="s">
        <v>33</v>
      </c>
      <c r="F184" s="30" t="s">
        <v>251</v>
      </c>
      <c r="G184" s="34">
        <v>2.7216</v>
      </c>
      <c r="H184" s="34">
        <f t="shared" si="3"/>
        <v>8.1647999999999996</v>
      </c>
      <c r="I184" s="30" t="s">
        <v>20</v>
      </c>
      <c r="J184" s="30" t="s">
        <v>169</v>
      </c>
      <c r="K184" s="35">
        <v>45444</v>
      </c>
      <c r="L184" s="30" t="s">
        <v>20</v>
      </c>
      <c r="M184" s="30" t="s">
        <v>524</v>
      </c>
    </row>
    <row r="185" spans="1:13">
      <c r="A185" s="30"/>
      <c r="B185" s="30"/>
      <c r="C185" s="30"/>
      <c r="D185" s="31"/>
      <c r="E185" s="30"/>
      <c r="F185" s="30"/>
      <c r="G185" s="34"/>
      <c r="H185" s="34"/>
      <c r="I185" s="30"/>
      <c r="J185" s="30"/>
      <c r="K185" s="35">
        <v>45444</v>
      </c>
      <c r="L185" s="30"/>
      <c r="M185" s="30"/>
    </row>
    <row r="186" spans="1:13">
      <c r="A186" s="30"/>
      <c r="B186" s="30"/>
      <c r="C186" s="30"/>
      <c r="D186" s="31"/>
      <c r="E186" s="30"/>
      <c r="F186" s="30"/>
      <c r="G186" s="34"/>
      <c r="H186" s="34"/>
      <c r="I186" s="30"/>
      <c r="J186" s="30"/>
      <c r="K186" s="35"/>
      <c r="L186" s="30"/>
      <c r="M186" s="30"/>
    </row>
    <row r="187" spans="1:13">
      <c r="A187" s="30"/>
      <c r="B187" s="30"/>
      <c r="C187" s="30"/>
      <c r="D187" s="31"/>
      <c r="E187" s="30"/>
      <c r="F187" s="30"/>
      <c r="G187" s="34"/>
      <c r="H187" s="34"/>
      <c r="I187" s="30"/>
      <c r="J187" s="30"/>
      <c r="K187" s="35"/>
      <c r="L187" s="30"/>
      <c r="M187" s="30"/>
    </row>
    <row r="188" spans="1:13" ht="45">
      <c r="A188" s="30" t="s">
        <v>106</v>
      </c>
      <c r="B188" s="30" t="s">
        <v>34</v>
      </c>
      <c r="C188" s="30" t="s">
        <v>35</v>
      </c>
      <c r="D188" s="31">
        <v>2</v>
      </c>
      <c r="E188" s="30" t="s">
        <v>105</v>
      </c>
      <c r="F188" s="30" t="s">
        <v>249</v>
      </c>
      <c r="G188" s="34">
        <v>82.879199999999997</v>
      </c>
      <c r="H188" s="34">
        <f t="shared" si="3"/>
        <v>165.75839999999999</v>
      </c>
      <c r="I188" s="30" t="s">
        <v>20</v>
      </c>
      <c r="J188" s="30" t="s">
        <v>36</v>
      </c>
      <c r="K188" s="35">
        <v>45444</v>
      </c>
      <c r="L188" s="30" t="s">
        <v>20</v>
      </c>
      <c r="M188" s="30" t="s">
        <v>524</v>
      </c>
    </row>
    <row r="189" spans="1:13" ht="45">
      <c r="A189" s="30" t="s">
        <v>91</v>
      </c>
      <c r="B189" s="30" t="s">
        <v>34</v>
      </c>
      <c r="C189" s="30" t="s">
        <v>35</v>
      </c>
      <c r="D189" s="31">
        <v>15</v>
      </c>
      <c r="E189" s="30" t="s">
        <v>52</v>
      </c>
      <c r="F189" s="30" t="s">
        <v>249</v>
      </c>
      <c r="G189" s="34">
        <v>11.232000000000001</v>
      </c>
      <c r="H189" s="34">
        <f t="shared" si="3"/>
        <v>168.48000000000002</v>
      </c>
      <c r="I189" s="30" t="s">
        <v>20</v>
      </c>
      <c r="J189" s="30" t="s">
        <v>36</v>
      </c>
      <c r="K189" s="35">
        <v>45444</v>
      </c>
      <c r="L189" s="30" t="s">
        <v>20</v>
      </c>
      <c r="M189" s="30" t="s">
        <v>524</v>
      </c>
    </row>
    <row r="190" spans="1:13" ht="45">
      <c r="A190" s="30" t="s">
        <v>296</v>
      </c>
      <c r="B190" s="30" t="s">
        <v>34</v>
      </c>
      <c r="C190" s="30" t="s">
        <v>35</v>
      </c>
      <c r="D190" s="31">
        <v>300</v>
      </c>
      <c r="E190" s="30" t="s">
        <v>33</v>
      </c>
      <c r="F190" s="30" t="s">
        <v>249</v>
      </c>
      <c r="G190" s="34">
        <v>12.96</v>
      </c>
      <c r="H190" s="34">
        <f t="shared" si="3"/>
        <v>3888.0000000000005</v>
      </c>
      <c r="I190" s="30" t="s">
        <v>20</v>
      </c>
      <c r="J190" s="30" t="s">
        <v>36</v>
      </c>
      <c r="K190" s="35">
        <v>45444</v>
      </c>
      <c r="L190" s="30" t="s">
        <v>20</v>
      </c>
      <c r="M190" s="30" t="s">
        <v>524</v>
      </c>
    </row>
    <row r="191" spans="1:13" ht="45">
      <c r="A191" s="30" t="s">
        <v>104</v>
      </c>
      <c r="B191" s="30" t="s">
        <v>34</v>
      </c>
      <c r="C191" s="30" t="s">
        <v>35</v>
      </c>
      <c r="D191" s="31">
        <v>10</v>
      </c>
      <c r="E191" s="30" t="s">
        <v>60</v>
      </c>
      <c r="F191" s="30" t="s">
        <v>249</v>
      </c>
      <c r="G191" s="34">
        <v>20.422800000000002</v>
      </c>
      <c r="H191" s="34">
        <f t="shared" si="3"/>
        <v>204.22800000000001</v>
      </c>
      <c r="I191" s="30" t="s">
        <v>20</v>
      </c>
      <c r="J191" s="30" t="s">
        <v>36</v>
      </c>
      <c r="K191" s="35">
        <v>45444</v>
      </c>
      <c r="L191" s="30" t="s">
        <v>20</v>
      </c>
      <c r="M191" s="30" t="s">
        <v>524</v>
      </c>
    </row>
    <row r="192" spans="1:13" ht="45">
      <c r="A192" s="30" t="s">
        <v>108</v>
      </c>
      <c r="B192" s="30" t="s">
        <v>34</v>
      </c>
      <c r="C192" s="30" t="s">
        <v>35</v>
      </c>
      <c r="D192" s="31">
        <v>2</v>
      </c>
      <c r="E192" s="30" t="s">
        <v>105</v>
      </c>
      <c r="F192" s="30" t="s">
        <v>249</v>
      </c>
      <c r="G192" s="34">
        <v>29.7972</v>
      </c>
      <c r="H192" s="34">
        <f t="shared" si="3"/>
        <v>59.5944</v>
      </c>
      <c r="I192" s="30" t="s">
        <v>20</v>
      </c>
      <c r="J192" s="30" t="s">
        <v>36</v>
      </c>
      <c r="K192" s="35">
        <v>45444</v>
      </c>
      <c r="L192" s="30" t="s">
        <v>20</v>
      </c>
      <c r="M192" s="30" t="s">
        <v>524</v>
      </c>
    </row>
    <row r="193" spans="1:13" ht="45">
      <c r="A193" s="30" t="s">
        <v>85</v>
      </c>
      <c r="B193" s="30" t="s">
        <v>34</v>
      </c>
      <c r="C193" s="30" t="s">
        <v>35</v>
      </c>
      <c r="D193" s="31">
        <v>240</v>
      </c>
      <c r="E193" s="30" t="s">
        <v>33</v>
      </c>
      <c r="F193" s="30" t="s">
        <v>249</v>
      </c>
      <c r="G193" s="34">
        <v>5.508</v>
      </c>
      <c r="H193" s="34">
        <f t="shared" si="3"/>
        <v>1321.92</v>
      </c>
      <c r="I193" s="30" t="s">
        <v>20</v>
      </c>
      <c r="J193" s="30" t="s">
        <v>36</v>
      </c>
      <c r="K193" s="35">
        <v>45444</v>
      </c>
      <c r="L193" s="30" t="s">
        <v>20</v>
      </c>
      <c r="M193" s="30" t="s">
        <v>524</v>
      </c>
    </row>
    <row r="194" spans="1:13" ht="45">
      <c r="A194" s="30" t="s">
        <v>63</v>
      </c>
      <c r="B194" s="30" t="s">
        <v>34</v>
      </c>
      <c r="C194" s="30" t="s">
        <v>35</v>
      </c>
      <c r="D194" s="31">
        <v>10</v>
      </c>
      <c r="E194" s="30" t="s">
        <v>33</v>
      </c>
      <c r="F194" s="30" t="s">
        <v>249</v>
      </c>
      <c r="G194" s="34">
        <v>22.68</v>
      </c>
      <c r="H194" s="34">
        <f t="shared" si="3"/>
        <v>226.8</v>
      </c>
      <c r="I194" s="30" t="s">
        <v>20</v>
      </c>
      <c r="J194" s="30" t="s">
        <v>169</v>
      </c>
      <c r="K194" s="35">
        <v>45444</v>
      </c>
      <c r="L194" s="30" t="s">
        <v>20</v>
      </c>
      <c r="M194" s="30" t="s">
        <v>524</v>
      </c>
    </row>
    <row r="195" spans="1:13" ht="45">
      <c r="A195" s="30" t="s">
        <v>46</v>
      </c>
      <c r="B195" s="30" t="s">
        <v>34</v>
      </c>
      <c r="C195" s="30" t="s">
        <v>35</v>
      </c>
      <c r="D195" s="31">
        <v>120</v>
      </c>
      <c r="E195" s="30" t="s">
        <v>58</v>
      </c>
      <c r="F195" s="30" t="s">
        <v>249</v>
      </c>
      <c r="G195" s="34">
        <v>9.395999999999999</v>
      </c>
      <c r="H195" s="34">
        <f t="shared" si="3"/>
        <v>1127.52</v>
      </c>
      <c r="I195" s="30" t="s">
        <v>20</v>
      </c>
      <c r="J195" s="30" t="s">
        <v>36</v>
      </c>
      <c r="K195" s="35">
        <v>45444</v>
      </c>
      <c r="L195" s="30" t="s">
        <v>20</v>
      </c>
      <c r="M195" s="30" t="s">
        <v>524</v>
      </c>
    </row>
    <row r="196" spans="1:13" ht="45">
      <c r="A196" s="30" t="s">
        <v>282</v>
      </c>
      <c r="B196" s="30" t="s">
        <v>34</v>
      </c>
      <c r="C196" s="30" t="s">
        <v>35</v>
      </c>
      <c r="D196" s="31">
        <v>5</v>
      </c>
      <c r="E196" s="30" t="s">
        <v>60</v>
      </c>
      <c r="F196" s="30" t="s">
        <v>249</v>
      </c>
      <c r="G196" s="34">
        <v>43.988399999999999</v>
      </c>
      <c r="H196" s="34">
        <f t="shared" si="3"/>
        <v>219.94200000000001</v>
      </c>
      <c r="I196" s="30" t="s">
        <v>20</v>
      </c>
      <c r="J196" s="30" t="s">
        <v>36</v>
      </c>
      <c r="K196" s="35">
        <v>45444</v>
      </c>
      <c r="L196" s="30" t="s">
        <v>20</v>
      </c>
      <c r="M196" s="30" t="s">
        <v>524</v>
      </c>
    </row>
    <row r="197" spans="1:13" ht="45">
      <c r="A197" s="30" t="s">
        <v>283</v>
      </c>
      <c r="B197" s="30" t="s">
        <v>34</v>
      </c>
      <c r="C197" s="30" t="s">
        <v>35</v>
      </c>
      <c r="D197" s="31">
        <v>120</v>
      </c>
      <c r="E197" s="30" t="s">
        <v>33</v>
      </c>
      <c r="F197" s="30" t="s">
        <v>249</v>
      </c>
      <c r="G197" s="34">
        <v>6.8040000000000003</v>
      </c>
      <c r="H197" s="34">
        <f t="shared" si="3"/>
        <v>816.48</v>
      </c>
      <c r="I197" s="30" t="s">
        <v>20</v>
      </c>
      <c r="J197" s="30" t="s">
        <v>36</v>
      </c>
      <c r="K197" s="35">
        <v>45444</v>
      </c>
      <c r="L197" s="30" t="s">
        <v>20</v>
      </c>
      <c r="M197" s="30" t="s">
        <v>524</v>
      </c>
    </row>
    <row r="198" spans="1:13" ht="45">
      <c r="A198" s="30" t="s">
        <v>107</v>
      </c>
      <c r="B198" s="30" t="s">
        <v>34</v>
      </c>
      <c r="C198" s="30" t="s">
        <v>35</v>
      </c>
      <c r="D198" s="31">
        <v>2</v>
      </c>
      <c r="E198" s="30" t="s">
        <v>105</v>
      </c>
      <c r="F198" s="30" t="s">
        <v>249</v>
      </c>
      <c r="G198" s="34">
        <v>20.023199999999999</v>
      </c>
      <c r="H198" s="34">
        <f t="shared" si="3"/>
        <v>40.046399999999998</v>
      </c>
      <c r="I198" s="30" t="s">
        <v>20</v>
      </c>
      <c r="J198" s="30" t="s">
        <v>36</v>
      </c>
      <c r="K198" s="35">
        <v>45444</v>
      </c>
      <c r="L198" s="30" t="s">
        <v>20</v>
      </c>
      <c r="M198" s="30" t="s">
        <v>524</v>
      </c>
    </row>
    <row r="199" spans="1:13">
      <c r="A199" s="30"/>
      <c r="B199" s="30"/>
      <c r="C199" s="30"/>
      <c r="D199" s="31"/>
      <c r="E199" s="30"/>
      <c r="F199" s="30"/>
      <c r="G199" s="34"/>
      <c r="H199" s="34"/>
      <c r="I199" s="30"/>
      <c r="J199" s="30"/>
      <c r="K199" s="35">
        <v>45444</v>
      </c>
      <c r="L199" s="30"/>
      <c r="M199" s="30"/>
    </row>
    <row r="200" spans="1:13">
      <c r="A200" s="30"/>
      <c r="B200" s="30"/>
      <c r="C200" s="30"/>
      <c r="D200" s="31"/>
      <c r="E200" s="30"/>
      <c r="F200" s="30"/>
      <c r="G200" s="34"/>
      <c r="H200" s="34"/>
      <c r="I200" s="30"/>
      <c r="J200" s="30"/>
      <c r="K200" s="35">
        <v>45444</v>
      </c>
      <c r="L200" s="30"/>
      <c r="M200" s="30"/>
    </row>
    <row r="201" spans="1:13" ht="45">
      <c r="A201" s="30" t="s">
        <v>42</v>
      </c>
      <c r="B201" s="30" t="s">
        <v>34</v>
      </c>
      <c r="C201" s="30" t="s">
        <v>35</v>
      </c>
      <c r="D201" s="31">
        <v>120</v>
      </c>
      <c r="E201" s="30" t="s">
        <v>60</v>
      </c>
      <c r="F201" s="30" t="s">
        <v>249</v>
      </c>
      <c r="G201" s="34">
        <v>8.5860000000000003</v>
      </c>
      <c r="H201" s="34">
        <f t="shared" si="3"/>
        <v>1030.32</v>
      </c>
      <c r="I201" s="30" t="s">
        <v>20</v>
      </c>
      <c r="J201" s="30" t="s">
        <v>36</v>
      </c>
      <c r="K201" s="35">
        <v>45444</v>
      </c>
      <c r="L201" s="30" t="s">
        <v>20</v>
      </c>
      <c r="M201" s="30" t="s">
        <v>524</v>
      </c>
    </row>
    <row r="202" spans="1:13" ht="45">
      <c r="A202" s="30" t="s">
        <v>96</v>
      </c>
      <c r="B202" s="30" t="s">
        <v>34</v>
      </c>
      <c r="C202" s="30" t="s">
        <v>35</v>
      </c>
      <c r="D202" s="31">
        <v>300</v>
      </c>
      <c r="E202" s="30" t="s">
        <v>33</v>
      </c>
      <c r="F202" s="30" t="s">
        <v>249</v>
      </c>
      <c r="G202" s="34">
        <v>2.4192000000000005</v>
      </c>
      <c r="H202" s="34">
        <f t="shared" si="3"/>
        <v>725.7600000000001</v>
      </c>
      <c r="I202" s="30" t="s">
        <v>20</v>
      </c>
      <c r="J202" s="30" t="s">
        <v>36</v>
      </c>
      <c r="K202" s="35">
        <v>45444</v>
      </c>
      <c r="L202" s="30" t="s">
        <v>20</v>
      </c>
      <c r="M202" s="30" t="s">
        <v>524</v>
      </c>
    </row>
    <row r="203" spans="1:13" ht="45">
      <c r="A203" s="30" t="s">
        <v>284</v>
      </c>
      <c r="B203" s="30" t="s">
        <v>34</v>
      </c>
      <c r="C203" s="30" t="s">
        <v>35</v>
      </c>
      <c r="D203" s="31">
        <v>100</v>
      </c>
      <c r="E203" s="30" t="s">
        <v>59</v>
      </c>
      <c r="F203" s="30" t="s">
        <v>249</v>
      </c>
      <c r="G203" s="34">
        <v>1.8144</v>
      </c>
      <c r="H203" s="34">
        <f t="shared" si="3"/>
        <v>181.44</v>
      </c>
      <c r="I203" s="30" t="s">
        <v>20</v>
      </c>
      <c r="J203" s="30" t="s">
        <v>36</v>
      </c>
      <c r="K203" s="35">
        <v>45444</v>
      </c>
      <c r="L203" s="30" t="s">
        <v>20</v>
      </c>
      <c r="M203" s="30" t="s">
        <v>524</v>
      </c>
    </row>
    <row r="204" spans="1:13">
      <c r="A204" s="30"/>
      <c r="B204" s="30"/>
      <c r="C204" s="30"/>
      <c r="D204" s="31"/>
      <c r="E204" s="30"/>
      <c r="F204" s="30"/>
      <c r="G204" s="34"/>
      <c r="H204" s="34"/>
      <c r="I204" s="30"/>
      <c r="J204" s="30"/>
      <c r="K204" s="35">
        <v>45444</v>
      </c>
      <c r="L204" s="30"/>
      <c r="M204" s="30"/>
    </row>
    <row r="205" spans="1:13" ht="45">
      <c r="A205" s="30" t="s">
        <v>92</v>
      </c>
      <c r="B205" s="30" t="s">
        <v>34</v>
      </c>
      <c r="C205" s="30" t="s">
        <v>35</v>
      </c>
      <c r="D205" s="31">
        <v>90</v>
      </c>
      <c r="E205" s="30" t="s">
        <v>52</v>
      </c>
      <c r="F205" s="30" t="s">
        <v>249</v>
      </c>
      <c r="G205" s="34">
        <v>11.83</v>
      </c>
      <c r="H205" s="34">
        <f t="shared" ref="H205:H223" si="4">D205*G205</f>
        <v>1064.7</v>
      </c>
      <c r="I205" s="30" t="s">
        <v>20</v>
      </c>
      <c r="J205" s="30" t="s">
        <v>36</v>
      </c>
      <c r="K205" s="35">
        <v>45444</v>
      </c>
      <c r="L205" s="30" t="s">
        <v>20</v>
      </c>
      <c r="M205" s="30" t="s">
        <v>524</v>
      </c>
    </row>
    <row r="206" spans="1:13" ht="45">
      <c r="A206" s="30" t="s">
        <v>86</v>
      </c>
      <c r="B206" s="30" t="s">
        <v>34</v>
      </c>
      <c r="C206" s="30" t="s">
        <v>35</v>
      </c>
      <c r="D206" s="31">
        <v>30</v>
      </c>
      <c r="E206" s="30" t="s">
        <v>33</v>
      </c>
      <c r="F206" s="30" t="s">
        <v>249</v>
      </c>
      <c r="G206" s="34">
        <v>3.7800000000000002</v>
      </c>
      <c r="H206" s="34">
        <f t="shared" si="4"/>
        <v>113.4</v>
      </c>
      <c r="I206" s="30" t="s">
        <v>20</v>
      </c>
      <c r="J206" s="30" t="s">
        <v>36</v>
      </c>
      <c r="K206" s="35">
        <v>45444</v>
      </c>
      <c r="L206" s="30" t="s">
        <v>20</v>
      </c>
      <c r="M206" s="30" t="s">
        <v>524</v>
      </c>
    </row>
    <row r="207" spans="1:13" ht="45">
      <c r="A207" s="30" t="s">
        <v>110</v>
      </c>
      <c r="B207" s="30" t="s">
        <v>34</v>
      </c>
      <c r="C207" s="30" t="s">
        <v>35</v>
      </c>
      <c r="D207" s="31">
        <v>12</v>
      </c>
      <c r="E207" s="30" t="s">
        <v>33</v>
      </c>
      <c r="F207" s="30" t="s">
        <v>249</v>
      </c>
      <c r="G207" s="34">
        <v>9.3420000000000005</v>
      </c>
      <c r="H207" s="34">
        <f t="shared" si="4"/>
        <v>112.10400000000001</v>
      </c>
      <c r="I207" s="30" t="s">
        <v>20</v>
      </c>
      <c r="J207" s="30" t="s">
        <v>36</v>
      </c>
      <c r="K207" s="35">
        <v>45444</v>
      </c>
      <c r="L207" s="30" t="s">
        <v>20</v>
      </c>
      <c r="M207" s="30" t="s">
        <v>524</v>
      </c>
    </row>
    <row r="208" spans="1:13" ht="45">
      <c r="A208" s="30" t="s">
        <v>285</v>
      </c>
      <c r="B208" s="30" t="s">
        <v>34</v>
      </c>
      <c r="C208" s="30" t="s">
        <v>35</v>
      </c>
      <c r="D208" s="31">
        <v>10</v>
      </c>
      <c r="E208" s="30" t="s">
        <v>33</v>
      </c>
      <c r="F208" s="30" t="s">
        <v>249</v>
      </c>
      <c r="G208" s="34">
        <v>15.875999999999999</v>
      </c>
      <c r="H208" s="34">
        <f t="shared" si="4"/>
        <v>158.76</v>
      </c>
      <c r="I208" s="30" t="s">
        <v>20</v>
      </c>
      <c r="J208" s="30" t="s">
        <v>36</v>
      </c>
      <c r="K208" s="35">
        <v>45444</v>
      </c>
      <c r="L208" s="30" t="s">
        <v>20</v>
      </c>
      <c r="M208" s="30" t="s">
        <v>524</v>
      </c>
    </row>
    <row r="209" spans="1:13">
      <c r="A209" s="30"/>
      <c r="B209" s="30"/>
      <c r="C209" s="30"/>
      <c r="D209" s="31"/>
      <c r="E209" s="30"/>
      <c r="F209" s="30"/>
      <c r="G209" s="34"/>
      <c r="H209" s="34"/>
      <c r="I209" s="30"/>
      <c r="J209" s="30"/>
      <c r="K209" s="35">
        <v>45444</v>
      </c>
      <c r="L209" s="30"/>
      <c r="M209" s="30"/>
    </row>
    <row r="210" spans="1:13" ht="45">
      <c r="A210" s="30" t="s">
        <v>287</v>
      </c>
      <c r="B210" s="30" t="s">
        <v>34</v>
      </c>
      <c r="C210" s="30" t="s">
        <v>35</v>
      </c>
      <c r="D210" s="31">
        <v>120</v>
      </c>
      <c r="E210" s="30" t="s">
        <v>33</v>
      </c>
      <c r="F210" s="30" t="s">
        <v>249</v>
      </c>
      <c r="G210" s="34">
        <v>5.2379999999999995</v>
      </c>
      <c r="H210" s="34">
        <f t="shared" si="4"/>
        <v>628.55999999999995</v>
      </c>
      <c r="I210" s="30" t="s">
        <v>20</v>
      </c>
      <c r="J210" s="30" t="s">
        <v>36</v>
      </c>
      <c r="K210" s="35">
        <v>45444</v>
      </c>
      <c r="L210" s="30" t="s">
        <v>20</v>
      </c>
      <c r="M210" s="30" t="s">
        <v>524</v>
      </c>
    </row>
    <row r="211" spans="1:13" ht="45">
      <c r="A211" s="30" t="s">
        <v>288</v>
      </c>
      <c r="B211" s="30" t="s">
        <v>34</v>
      </c>
      <c r="C211" s="30" t="s">
        <v>35</v>
      </c>
      <c r="D211" s="31">
        <v>48</v>
      </c>
      <c r="E211" s="30" t="s">
        <v>33</v>
      </c>
      <c r="F211" s="30" t="s">
        <v>249</v>
      </c>
      <c r="G211" s="34">
        <v>3.3264000000000005</v>
      </c>
      <c r="H211" s="34">
        <f t="shared" si="4"/>
        <v>159.66720000000004</v>
      </c>
      <c r="I211" s="30" t="s">
        <v>20</v>
      </c>
      <c r="J211" s="30" t="s">
        <v>36</v>
      </c>
      <c r="K211" s="35">
        <v>45444</v>
      </c>
      <c r="L211" s="30" t="s">
        <v>20</v>
      </c>
      <c r="M211" s="30" t="s">
        <v>524</v>
      </c>
    </row>
    <row r="212" spans="1:13" ht="45">
      <c r="A212" s="30" t="s">
        <v>581</v>
      </c>
      <c r="B212" s="30" t="s">
        <v>34</v>
      </c>
      <c r="C212" s="30" t="s">
        <v>35</v>
      </c>
      <c r="D212" s="31">
        <v>50</v>
      </c>
      <c r="E212" s="30" t="s">
        <v>33</v>
      </c>
      <c r="F212" s="30" t="s">
        <v>249</v>
      </c>
      <c r="G212" s="34">
        <v>6.7284000000000006</v>
      </c>
      <c r="H212" s="34">
        <f t="shared" si="4"/>
        <v>336.42</v>
      </c>
      <c r="I212" s="30" t="s">
        <v>20</v>
      </c>
      <c r="J212" s="30" t="s">
        <v>36</v>
      </c>
      <c r="K212" s="35">
        <v>45444</v>
      </c>
      <c r="L212" s="30" t="s">
        <v>20</v>
      </c>
      <c r="M212" s="30" t="s">
        <v>524</v>
      </c>
    </row>
    <row r="213" spans="1:13">
      <c r="A213" s="30"/>
      <c r="B213" s="30"/>
      <c r="C213" s="30"/>
      <c r="D213" s="31"/>
      <c r="E213" s="30"/>
      <c r="F213" s="30"/>
      <c r="G213" s="34"/>
      <c r="H213" s="34"/>
      <c r="I213" s="30"/>
      <c r="J213" s="30"/>
      <c r="K213" s="35">
        <v>45444</v>
      </c>
      <c r="L213" s="30"/>
      <c r="M213" s="30"/>
    </row>
    <row r="214" spans="1:13">
      <c r="A214" s="30"/>
      <c r="B214" s="30"/>
      <c r="C214" s="30"/>
      <c r="D214" s="31"/>
      <c r="E214" s="30"/>
      <c r="F214" s="30"/>
      <c r="G214" s="34"/>
      <c r="H214" s="34"/>
      <c r="I214" s="30"/>
      <c r="J214" s="30"/>
      <c r="K214" s="35">
        <v>45444</v>
      </c>
      <c r="L214" s="30"/>
      <c r="M214" s="30"/>
    </row>
    <row r="215" spans="1:13" ht="45">
      <c r="A215" s="30" t="s">
        <v>111</v>
      </c>
      <c r="B215" s="30" t="s">
        <v>34</v>
      </c>
      <c r="C215" s="30" t="s">
        <v>35</v>
      </c>
      <c r="D215" s="31">
        <v>5</v>
      </c>
      <c r="E215" s="30" t="s">
        <v>33</v>
      </c>
      <c r="F215" s="30" t="s">
        <v>249</v>
      </c>
      <c r="G215" s="34">
        <v>28.015200000000004</v>
      </c>
      <c r="H215" s="34">
        <f t="shared" si="4"/>
        <v>140.07600000000002</v>
      </c>
      <c r="I215" s="30" t="s">
        <v>20</v>
      </c>
      <c r="J215" s="30" t="s">
        <v>36</v>
      </c>
      <c r="K215" s="35">
        <v>45444</v>
      </c>
      <c r="L215" s="30" t="s">
        <v>20</v>
      </c>
      <c r="M215" s="30" t="s">
        <v>524</v>
      </c>
    </row>
    <row r="216" spans="1:13" ht="45">
      <c r="A216" s="30" t="s">
        <v>65</v>
      </c>
      <c r="B216" s="30" t="s">
        <v>34</v>
      </c>
      <c r="C216" s="30" t="s">
        <v>35</v>
      </c>
      <c r="D216" s="31">
        <v>120</v>
      </c>
      <c r="E216" s="30" t="s">
        <v>33</v>
      </c>
      <c r="F216" s="30" t="s">
        <v>249</v>
      </c>
      <c r="G216" s="34">
        <v>0.75600000000000001</v>
      </c>
      <c r="H216" s="34">
        <f t="shared" si="4"/>
        <v>90.72</v>
      </c>
      <c r="I216" s="30" t="s">
        <v>20</v>
      </c>
      <c r="J216" s="30" t="s">
        <v>36</v>
      </c>
      <c r="K216" s="35">
        <v>45444</v>
      </c>
      <c r="L216" s="30" t="s">
        <v>20</v>
      </c>
      <c r="M216" s="30" t="s">
        <v>524</v>
      </c>
    </row>
    <row r="217" spans="1:13" ht="45">
      <c r="A217" s="30" t="s">
        <v>64</v>
      </c>
      <c r="B217" s="30" t="s">
        <v>34</v>
      </c>
      <c r="C217" s="30" t="s">
        <v>35</v>
      </c>
      <c r="D217" s="31">
        <v>50</v>
      </c>
      <c r="E217" s="30" t="s">
        <v>52</v>
      </c>
      <c r="F217" s="30" t="s">
        <v>249</v>
      </c>
      <c r="G217" s="34">
        <v>2.484</v>
      </c>
      <c r="H217" s="34">
        <f t="shared" si="4"/>
        <v>124.2</v>
      </c>
      <c r="I217" s="30" t="s">
        <v>20</v>
      </c>
      <c r="J217" s="30" t="s">
        <v>36</v>
      </c>
      <c r="K217" s="35">
        <v>45444</v>
      </c>
      <c r="L217" s="30" t="s">
        <v>20</v>
      </c>
      <c r="M217" s="30" t="s">
        <v>524</v>
      </c>
    </row>
    <row r="218" spans="1:13" ht="45">
      <c r="A218" s="30" t="s">
        <v>291</v>
      </c>
      <c r="B218" s="30" t="s">
        <v>34</v>
      </c>
      <c r="C218" s="30" t="s">
        <v>35</v>
      </c>
      <c r="D218" s="31">
        <v>72</v>
      </c>
      <c r="E218" s="30" t="s">
        <v>33</v>
      </c>
      <c r="F218" s="30" t="s">
        <v>249</v>
      </c>
      <c r="G218" s="34">
        <v>1.782</v>
      </c>
      <c r="H218" s="34">
        <f t="shared" si="4"/>
        <v>128.304</v>
      </c>
      <c r="I218" s="30" t="s">
        <v>20</v>
      </c>
      <c r="J218" s="30" t="s">
        <v>36</v>
      </c>
      <c r="K218" s="35">
        <v>45444</v>
      </c>
      <c r="L218" s="30" t="s">
        <v>20</v>
      </c>
      <c r="M218" s="30" t="s">
        <v>524</v>
      </c>
    </row>
    <row r="219" spans="1:13" ht="45">
      <c r="A219" s="30" t="s">
        <v>84</v>
      </c>
      <c r="B219" s="30" t="s">
        <v>34</v>
      </c>
      <c r="C219" s="30" t="s">
        <v>35</v>
      </c>
      <c r="D219" s="31">
        <v>5</v>
      </c>
      <c r="E219" s="30" t="s">
        <v>33</v>
      </c>
      <c r="F219" s="30" t="s">
        <v>249</v>
      </c>
      <c r="G219" s="34">
        <v>7.4736000000000002</v>
      </c>
      <c r="H219" s="34">
        <f t="shared" si="4"/>
        <v>37.368000000000002</v>
      </c>
      <c r="I219" s="30" t="s">
        <v>20</v>
      </c>
      <c r="J219" s="30" t="s">
        <v>36</v>
      </c>
      <c r="K219" s="35">
        <v>45444</v>
      </c>
      <c r="L219" s="30" t="s">
        <v>20</v>
      </c>
      <c r="M219" s="30" t="s">
        <v>524</v>
      </c>
    </row>
    <row r="220" spans="1:13">
      <c r="A220" s="30"/>
      <c r="B220" s="30"/>
      <c r="C220" s="30"/>
      <c r="D220" s="31"/>
      <c r="E220" s="30"/>
      <c r="F220" s="30"/>
      <c r="G220" s="34"/>
      <c r="H220" s="34"/>
      <c r="I220" s="30"/>
      <c r="J220" s="30"/>
      <c r="K220" s="35">
        <v>45444</v>
      </c>
      <c r="L220" s="30"/>
      <c r="M220" s="30"/>
    </row>
    <row r="221" spans="1:13" ht="45">
      <c r="A221" s="30" t="s">
        <v>113</v>
      </c>
      <c r="B221" s="30" t="s">
        <v>34</v>
      </c>
      <c r="C221" s="30" t="s">
        <v>35</v>
      </c>
      <c r="D221" s="31">
        <v>80</v>
      </c>
      <c r="E221" s="30" t="s">
        <v>33</v>
      </c>
      <c r="F221" s="30" t="s">
        <v>249</v>
      </c>
      <c r="G221" s="34">
        <v>3.1752000000000002</v>
      </c>
      <c r="H221" s="34">
        <f t="shared" si="4"/>
        <v>254.01600000000002</v>
      </c>
      <c r="I221" s="30" t="s">
        <v>20</v>
      </c>
      <c r="J221" s="30" t="s">
        <v>36</v>
      </c>
      <c r="K221" s="35">
        <v>45444</v>
      </c>
      <c r="L221" s="30" t="s">
        <v>20</v>
      </c>
      <c r="M221" s="30" t="s">
        <v>524</v>
      </c>
    </row>
    <row r="222" spans="1:13" ht="45">
      <c r="A222" s="30" t="s">
        <v>62</v>
      </c>
      <c r="B222" s="30" t="s">
        <v>34</v>
      </c>
      <c r="C222" s="30" t="s">
        <v>35</v>
      </c>
      <c r="D222" s="31">
        <v>10</v>
      </c>
      <c r="E222" s="30" t="s">
        <v>33</v>
      </c>
      <c r="F222" s="30" t="s">
        <v>249</v>
      </c>
      <c r="G222" s="34">
        <v>2.2680000000000002</v>
      </c>
      <c r="H222" s="34">
        <f t="shared" si="4"/>
        <v>22.680000000000003</v>
      </c>
      <c r="I222" s="30" t="s">
        <v>20</v>
      </c>
      <c r="J222" s="30" t="s">
        <v>36</v>
      </c>
      <c r="K222" s="35">
        <v>45444</v>
      </c>
      <c r="L222" s="30" t="s">
        <v>20</v>
      </c>
      <c r="M222" s="30" t="s">
        <v>524</v>
      </c>
    </row>
    <row r="223" spans="1:13" ht="45">
      <c r="A223" s="30" t="s">
        <v>87</v>
      </c>
      <c r="B223" s="30" t="s">
        <v>34</v>
      </c>
      <c r="C223" s="30" t="s">
        <v>35</v>
      </c>
      <c r="D223" s="31">
        <v>5</v>
      </c>
      <c r="E223" s="30" t="s">
        <v>52</v>
      </c>
      <c r="F223" s="30" t="s">
        <v>249</v>
      </c>
      <c r="G223" s="34">
        <v>2.7216</v>
      </c>
      <c r="H223" s="34">
        <f t="shared" si="4"/>
        <v>13.608000000000001</v>
      </c>
      <c r="I223" s="30" t="s">
        <v>20</v>
      </c>
      <c r="J223" s="30" t="s">
        <v>36</v>
      </c>
      <c r="K223" s="35">
        <v>45444</v>
      </c>
      <c r="L223" s="30" t="s">
        <v>20</v>
      </c>
      <c r="M223" s="30" t="s">
        <v>524</v>
      </c>
    </row>
  </sheetData>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94DC8-734A-4FBC-9B49-B50626905C69}">
  <dimension ref="A1:M154"/>
  <sheetViews>
    <sheetView workbookViewId="0">
      <selection activeCell="F2" sqref="F2"/>
    </sheetView>
  </sheetViews>
  <sheetFormatPr defaultRowHeight="15"/>
  <cols>
    <col min="2" max="2" width="29.140625" customWidth="1"/>
    <col min="8" max="8" width="24.42578125" customWidth="1"/>
    <col min="11" max="11" width="21.5703125" customWidth="1"/>
  </cols>
  <sheetData>
    <row r="1" spans="1:13" ht="75">
      <c r="A1" s="36" t="s">
        <v>0</v>
      </c>
      <c r="B1" s="36" t="s">
        <v>409</v>
      </c>
      <c r="C1" s="36" t="s">
        <v>410</v>
      </c>
      <c r="D1" s="36" t="s">
        <v>1</v>
      </c>
      <c r="E1" s="36" t="s">
        <v>582</v>
      </c>
      <c r="F1" s="36" t="s">
        <v>8</v>
      </c>
      <c r="G1" s="36" t="s">
        <v>412</v>
      </c>
      <c r="H1" s="36" t="s">
        <v>3</v>
      </c>
      <c r="I1" s="36" t="s">
        <v>4</v>
      </c>
      <c r="J1" s="36" t="s">
        <v>5</v>
      </c>
      <c r="K1" s="36" t="s">
        <v>413</v>
      </c>
      <c r="L1" s="36" t="s">
        <v>7</v>
      </c>
      <c r="M1" s="36" t="s">
        <v>12</v>
      </c>
    </row>
    <row r="2" spans="1:13" ht="90">
      <c r="A2" s="37">
        <v>1</v>
      </c>
      <c r="B2" s="37" t="s">
        <v>583</v>
      </c>
      <c r="C2" s="37" t="s">
        <v>34</v>
      </c>
      <c r="D2" s="37"/>
      <c r="E2" s="37">
        <v>100</v>
      </c>
      <c r="F2" s="37" t="s">
        <v>584</v>
      </c>
      <c r="G2" s="37"/>
      <c r="H2" s="38">
        <v>5100</v>
      </c>
      <c r="I2" s="37" t="s">
        <v>20</v>
      </c>
      <c r="J2" s="37" t="s">
        <v>415</v>
      </c>
      <c r="K2" s="39">
        <v>45292</v>
      </c>
      <c r="L2" s="37" t="s">
        <v>20</v>
      </c>
      <c r="M2" s="37" t="s">
        <v>585</v>
      </c>
    </row>
    <row r="3" spans="1:13" ht="90">
      <c r="A3" s="37">
        <v>2</v>
      </c>
      <c r="B3" s="37" t="s">
        <v>583</v>
      </c>
      <c r="C3" s="37" t="s">
        <v>34</v>
      </c>
      <c r="D3" s="37"/>
      <c r="E3" s="40">
        <v>60</v>
      </c>
      <c r="F3" s="37" t="s">
        <v>586</v>
      </c>
      <c r="G3" s="37"/>
      <c r="H3" s="38">
        <v>800</v>
      </c>
      <c r="I3" s="37" t="s">
        <v>20</v>
      </c>
      <c r="J3" s="37" t="s">
        <v>415</v>
      </c>
      <c r="K3" s="39">
        <v>45292</v>
      </c>
      <c r="L3" s="37" t="s">
        <v>20</v>
      </c>
      <c r="M3" s="37" t="s">
        <v>585</v>
      </c>
    </row>
    <row r="4" spans="1:13" ht="90">
      <c r="A4" s="37">
        <v>3</v>
      </c>
      <c r="B4" s="37" t="s">
        <v>587</v>
      </c>
      <c r="C4" s="37" t="s">
        <v>34</v>
      </c>
      <c r="D4" s="37"/>
      <c r="E4" s="37">
        <v>100</v>
      </c>
      <c r="F4" s="37" t="s">
        <v>588</v>
      </c>
      <c r="G4" s="37" t="s">
        <v>589</v>
      </c>
      <c r="H4" s="38">
        <v>34300</v>
      </c>
      <c r="I4" s="37" t="s">
        <v>20</v>
      </c>
      <c r="J4" s="37" t="s">
        <v>415</v>
      </c>
      <c r="K4" s="39">
        <v>45292</v>
      </c>
      <c r="L4" s="37" t="s">
        <v>20</v>
      </c>
      <c r="M4" s="37" t="s">
        <v>585</v>
      </c>
    </row>
    <row r="5" spans="1:13" ht="90">
      <c r="A5" s="37">
        <v>4</v>
      </c>
      <c r="B5" s="37" t="s">
        <v>590</v>
      </c>
      <c r="C5" s="37" t="s">
        <v>34</v>
      </c>
      <c r="D5" s="37"/>
      <c r="E5" s="37">
        <v>80</v>
      </c>
      <c r="F5" s="37" t="s">
        <v>591</v>
      </c>
      <c r="G5" s="37" t="s">
        <v>592</v>
      </c>
      <c r="H5" s="38">
        <v>1200</v>
      </c>
      <c r="I5" s="37" t="s">
        <v>20</v>
      </c>
      <c r="J5" s="37" t="s">
        <v>415</v>
      </c>
      <c r="K5" s="39">
        <v>45292</v>
      </c>
      <c r="L5" s="37" t="s">
        <v>20</v>
      </c>
      <c r="M5" s="37" t="s">
        <v>585</v>
      </c>
    </row>
    <row r="6" spans="1:13" ht="90">
      <c r="A6" s="37">
        <v>5</v>
      </c>
      <c r="B6" s="37" t="s">
        <v>573</v>
      </c>
      <c r="C6" s="37" t="s">
        <v>34</v>
      </c>
      <c r="D6" s="37"/>
      <c r="E6" s="37">
        <v>80</v>
      </c>
      <c r="F6" s="37" t="s">
        <v>591</v>
      </c>
      <c r="G6" s="37" t="s">
        <v>592</v>
      </c>
      <c r="H6" s="38">
        <v>480</v>
      </c>
      <c r="I6" s="37" t="s">
        <v>20</v>
      </c>
      <c r="J6" s="37" t="s">
        <v>415</v>
      </c>
      <c r="K6" s="39">
        <v>45292</v>
      </c>
      <c r="L6" s="37" t="s">
        <v>20</v>
      </c>
      <c r="M6" s="37" t="s">
        <v>585</v>
      </c>
    </row>
    <row r="7" spans="1:13" ht="90">
      <c r="A7" s="37">
        <v>6</v>
      </c>
      <c r="B7" s="37" t="s">
        <v>593</v>
      </c>
      <c r="C7" s="37" t="s">
        <v>34</v>
      </c>
      <c r="D7" s="37"/>
      <c r="E7" s="37">
        <v>6</v>
      </c>
      <c r="F7" s="37" t="s">
        <v>594</v>
      </c>
      <c r="G7" s="37" t="s">
        <v>595</v>
      </c>
      <c r="H7" s="38">
        <v>18000</v>
      </c>
      <c r="I7" s="37" t="s">
        <v>20</v>
      </c>
      <c r="J7" s="37" t="s">
        <v>415</v>
      </c>
      <c r="K7" s="39">
        <v>45292</v>
      </c>
      <c r="L7" s="37" t="s">
        <v>20</v>
      </c>
      <c r="M7" s="37" t="s">
        <v>585</v>
      </c>
    </row>
    <row r="8" spans="1:13" ht="90">
      <c r="A8" s="37">
        <v>7</v>
      </c>
      <c r="B8" s="37" t="s">
        <v>174</v>
      </c>
      <c r="C8" s="37" t="s">
        <v>34</v>
      </c>
      <c r="D8" s="37"/>
      <c r="E8" s="37">
        <v>4</v>
      </c>
      <c r="F8" s="37" t="s">
        <v>594</v>
      </c>
      <c r="G8" s="37" t="s">
        <v>595</v>
      </c>
      <c r="H8" s="38">
        <v>10800</v>
      </c>
      <c r="I8" s="37" t="s">
        <v>20</v>
      </c>
      <c r="J8" s="37" t="s">
        <v>415</v>
      </c>
      <c r="K8" s="39">
        <v>45292</v>
      </c>
      <c r="L8" s="37" t="s">
        <v>20</v>
      </c>
      <c r="M8" s="37" t="s">
        <v>585</v>
      </c>
    </row>
    <row r="9" spans="1:13" ht="90">
      <c r="A9" s="37">
        <v>8</v>
      </c>
      <c r="B9" s="37" t="s">
        <v>596</v>
      </c>
      <c r="C9" s="37" t="s">
        <v>34</v>
      </c>
      <c r="D9" s="37"/>
      <c r="E9" s="37">
        <v>3</v>
      </c>
      <c r="F9" s="37" t="s">
        <v>594</v>
      </c>
      <c r="G9" s="37" t="s">
        <v>597</v>
      </c>
      <c r="H9" s="38">
        <v>2100</v>
      </c>
      <c r="I9" s="37" t="s">
        <v>20</v>
      </c>
      <c r="J9" s="37" t="s">
        <v>415</v>
      </c>
      <c r="K9" s="39">
        <v>45292</v>
      </c>
      <c r="L9" s="37" t="s">
        <v>20</v>
      </c>
      <c r="M9" s="37" t="s">
        <v>585</v>
      </c>
    </row>
    <row r="10" spans="1:13" ht="90">
      <c r="A10" s="37">
        <v>9</v>
      </c>
      <c r="B10" s="37" t="s">
        <v>598</v>
      </c>
      <c r="C10" s="37" t="s">
        <v>34</v>
      </c>
      <c r="D10" s="37"/>
      <c r="E10" s="37">
        <v>8</v>
      </c>
      <c r="F10" s="37" t="s">
        <v>594</v>
      </c>
      <c r="G10" s="37" t="s">
        <v>599</v>
      </c>
      <c r="H10" s="38">
        <v>7280</v>
      </c>
      <c r="I10" s="37" t="s">
        <v>20</v>
      </c>
      <c r="J10" s="37" t="s">
        <v>415</v>
      </c>
      <c r="K10" s="39">
        <v>45292</v>
      </c>
      <c r="L10" s="37" t="s">
        <v>20</v>
      </c>
      <c r="M10" s="37" t="s">
        <v>585</v>
      </c>
    </row>
    <row r="11" spans="1:13" ht="90">
      <c r="A11" s="37">
        <v>10</v>
      </c>
      <c r="B11" s="37" t="s">
        <v>600</v>
      </c>
      <c r="C11" s="37" t="s">
        <v>34</v>
      </c>
      <c r="D11" s="37"/>
      <c r="E11" s="37">
        <v>2</v>
      </c>
      <c r="F11" s="37" t="s">
        <v>594</v>
      </c>
      <c r="G11" s="37" t="s">
        <v>599</v>
      </c>
      <c r="H11" s="38">
        <v>1000</v>
      </c>
      <c r="I11" s="37" t="s">
        <v>20</v>
      </c>
      <c r="J11" s="37" t="s">
        <v>415</v>
      </c>
      <c r="K11" s="39">
        <v>45292</v>
      </c>
      <c r="L11" s="37" t="s">
        <v>20</v>
      </c>
      <c r="M11" s="37" t="s">
        <v>585</v>
      </c>
    </row>
    <row r="12" spans="1:13" ht="90">
      <c r="A12" s="37">
        <v>11</v>
      </c>
      <c r="B12" s="37" t="s">
        <v>601</v>
      </c>
      <c r="C12" s="37" t="s">
        <v>34</v>
      </c>
      <c r="D12" s="37"/>
      <c r="E12" s="37">
        <v>2</v>
      </c>
      <c r="F12" s="37" t="s">
        <v>594</v>
      </c>
      <c r="G12" s="37" t="s">
        <v>602</v>
      </c>
      <c r="H12" s="38">
        <v>5000</v>
      </c>
      <c r="I12" s="37" t="s">
        <v>20</v>
      </c>
      <c r="J12" s="37" t="s">
        <v>415</v>
      </c>
      <c r="K12" s="39">
        <v>45292</v>
      </c>
      <c r="L12" s="37" t="s">
        <v>20</v>
      </c>
      <c r="M12" s="37" t="s">
        <v>585</v>
      </c>
    </row>
    <row r="13" spans="1:13" ht="90">
      <c r="A13" s="37">
        <v>12</v>
      </c>
      <c r="B13" s="37" t="s">
        <v>603</v>
      </c>
      <c r="C13" s="37" t="s">
        <v>34</v>
      </c>
      <c r="D13" s="37"/>
      <c r="E13" s="37">
        <v>2</v>
      </c>
      <c r="F13" s="37" t="s">
        <v>594</v>
      </c>
      <c r="G13" s="37" t="s">
        <v>602</v>
      </c>
      <c r="H13" s="38">
        <v>8000</v>
      </c>
      <c r="I13" s="37" t="s">
        <v>20</v>
      </c>
      <c r="J13" s="37" t="s">
        <v>415</v>
      </c>
      <c r="K13" s="39">
        <v>45292</v>
      </c>
      <c r="L13" s="37" t="s">
        <v>20</v>
      </c>
      <c r="M13" s="37" t="s">
        <v>585</v>
      </c>
    </row>
    <row r="14" spans="1:13" ht="90">
      <c r="A14" s="37">
        <v>13</v>
      </c>
      <c r="B14" s="37" t="s">
        <v>604</v>
      </c>
      <c r="C14" s="37" t="s">
        <v>34</v>
      </c>
      <c r="D14" s="37"/>
      <c r="E14" s="37">
        <v>2</v>
      </c>
      <c r="F14" s="37" t="s">
        <v>594</v>
      </c>
      <c r="G14" s="37" t="s">
        <v>597</v>
      </c>
      <c r="H14" s="38">
        <v>2000</v>
      </c>
      <c r="I14" s="37" t="s">
        <v>20</v>
      </c>
      <c r="J14" s="37" t="s">
        <v>415</v>
      </c>
      <c r="K14" s="39">
        <v>45292</v>
      </c>
      <c r="L14" s="37" t="s">
        <v>20</v>
      </c>
      <c r="M14" s="37" t="s">
        <v>585</v>
      </c>
    </row>
    <row r="15" spans="1:13" ht="90">
      <c r="A15" s="37">
        <v>14</v>
      </c>
      <c r="B15" s="37" t="s">
        <v>605</v>
      </c>
      <c r="C15" s="37" t="s">
        <v>25</v>
      </c>
      <c r="D15" s="37"/>
      <c r="E15" s="37">
        <v>3</v>
      </c>
      <c r="F15" s="37" t="s">
        <v>606</v>
      </c>
      <c r="G15" s="37" t="s">
        <v>419</v>
      </c>
      <c r="H15" s="41">
        <v>51050</v>
      </c>
      <c r="I15" s="37" t="s">
        <v>20</v>
      </c>
      <c r="J15" s="37" t="s">
        <v>415</v>
      </c>
      <c r="K15" s="39">
        <v>45292</v>
      </c>
      <c r="L15" s="37" t="s">
        <v>20</v>
      </c>
      <c r="M15" s="37" t="s">
        <v>585</v>
      </c>
    </row>
    <row r="16" spans="1:13" ht="90">
      <c r="A16" s="37">
        <v>15</v>
      </c>
      <c r="B16" s="37" t="s">
        <v>607</v>
      </c>
      <c r="C16" s="37" t="s">
        <v>25</v>
      </c>
      <c r="D16" s="37"/>
      <c r="E16" s="37">
        <v>2</v>
      </c>
      <c r="F16" s="37" t="s">
        <v>594</v>
      </c>
      <c r="G16" s="37" t="s">
        <v>419</v>
      </c>
      <c r="H16" s="38">
        <v>24000</v>
      </c>
      <c r="I16" s="37" t="s">
        <v>20</v>
      </c>
      <c r="J16" s="37" t="s">
        <v>415</v>
      </c>
      <c r="K16" s="39">
        <v>45292</v>
      </c>
      <c r="L16" s="37" t="s">
        <v>20</v>
      </c>
      <c r="M16" s="37" t="s">
        <v>585</v>
      </c>
    </row>
    <row r="17" spans="1:13" ht="90">
      <c r="A17" s="37">
        <v>16</v>
      </c>
      <c r="B17" s="37" t="s">
        <v>608</v>
      </c>
      <c r="C17" s="37" t="s">
        <v>34</v>
      </c>
      <c r="D17" s="37"/>
      <c r="E17" s="37">
        <v>150</v>
      </c>
      <c r="F17" s="37" t="s">
        <v>594</v>
      </c>
      <c r="G17" s="37" t="s">
        <v>419</v>
      </c>
      <c r="H17" s="38">
        <v>1050</v>
      </c>
      <c r="I17" s="37" t="s">
        <v>20</v>
      </c>
      <c r="J17" s="37" t="s">
        <v>415</v>
      </c>
      <c r="K17" s="39">
        <v>45292</v>
      </c>
      <c r="L17" s="37" t="s">
        <v>20</v>
      </c>
      <c r="M17" s="37" t="s">
        <v>585</v>
      </c>
    </row>
    <row r="18" spans="1:13" ht="90">
      <c r="A18" s="37">
        <v>17</v>
      </c>
      <c r="B18" s="37" t="s">
        <v>609</v>
      </c>
      <c r="C18" s="37" t="s">
        <v>34</v>
      </c>
      <c r="D18" s="37"/>
      <c r="E18" s="37">
        <v>100</v>
      </c>
      <c r="F18" s="37" t="s">
        <v>594</v>
      </c>
      <c r="G18" s="37" t="s">
        <v>419</v>
      </c>
      <c r="H18" s="38">
        <v>1500</v>
      </c>
      <c r="I18" s="37" t="s">
        <v>20</v>
      </c>
      <c r="J18" s="37" t="s">
        <v>415</v>
      </c>
      <c r="K18" s="39">
        <v>45292</v>
      </c>
      <c r="L18" s="37" t="s">
        <v>20</v>
      </c>
      <c r="M18" s="37" t="s">
        <v>585</v>
      </c>
    </row>
    <row r="19" spans="1:13" ht="90">
      <c r="A19" s="37">
        <v>18</v>
      </c>
      <c r="B19" s="37" t="s">
        <v>610</v>
      </c>
      <c r="C19" s="37" t="s">
        <v>34</v>
      </c>
      <c r="D19" s="37"/>
      <c r="E19" s="37">
        <v>200</v>
      </c>
      <c r="F19" s="37" t="s">
        <v>594</v>
      </c>
      <c r="G19" s="37" t="s">
        <v>419</v>
      </c>
      <c r="H19" s="42">
        <v>3200</v>
      </c>
      <c r="I19" s="37" t="s">
        <v>20</v>
      </c>
      <c r="J19" s="37" t="s">
        <v>415</v>
      </c>
      <c r="K19" s="39">
        <v>45292</v>
      </c>
      <c r="L19" s="37" t="s">
        <v>20</v>
      </c>
      <c r="M19" s="37" t="s">
        <v>585</v>
      </c>
    </row>
    <row r="20" spans="1:13" ht="90">
      <c r="A20" s="37">
        <v>19</v>
      </c>
      <c r="B20" s="37" t="s">
        <v>611</v>
      </c>
      <c r="C20" s="37" t="s">
        <v>34</v>
      </c>
      <c r="D20" s="37"/>
      <c r="E20" s="37">
        <v>100</v>
      </c>
      <c r="F20" s="37" t="s">
        <v>594</v>
      </c>
      <c r="G20" s="37" t="s">
        <v>419</v>
      </c>
      <c r="H20" s="38">
        <v>1300</v>
      </c>
      <c r="I20" s="37" t="s">
        <v>20</v>
      </c>
      <c r="J20" s="37" t="s">
        <v>415</v>
      </c>
      <c r="K20" s="39">
        <v>45292</v>
      </c>
      <c r="L20" s="37" t="s">
        <v>20</v>
      </c>
      <c r="M20" s="37" t="s">
        <v>585</v>
      </c>
    </row>
    <row r="21" spans="1:13" ht="90">
      <c r="A21" s="37">
        <v>20</v>
      </c>
      <c r="B21" s="37" t="s">
        <v>612</v>
      </c>
      <c r="C21" s="37" t="s">
        <v>34</v>
      </c>
      <c r="D21" s="37"/>
      <c r="E21" s="37">
        <v>30</v>
      </c>
      <c r="F21" s="37" t="s">
        <v>594</v>
      </c>
      <c r="G21" s="37" t="s">
        <v>419</v>
      </c>
      <c r="H21" s="38">
        <v>1000</v>
      </c>
      <c r="I21" s="37" t="s">
        <v>20</v>
      </c>
      <c r="J21" s="37" t="s">
        <v>415</v>
      </c>
      <c r="K21" s="39">
        <v>45292</v>
      </c>
      <c r="L21" s="37" t="s">
        <v>20</v>
      </c>
      <c r="M21" s="37" t="s">
        <v>585</v>
      </c>
    </row>
    <row r="22" spans="1:13" ht="90">
      <c r="A22" s="37">
        <v>21</v>
      </c>
      <c r="B22" s="37" t="s">
        <v>613</v>
      </c>
      <c r="C22" s="37" t="s">
        <v>34</v>
      </c>
      <c r="D22" s="37"/>
      <c r="E22" s="37">
        <v>100</v>
      </c>
      <c r="F22" s="37" t="s">
        <v>594</v>
      </c>
      <c r="G22" s="37" t="s">
        <v>419</v>
      </c>
      <c r="H22" s="38">
        <v>1500</v>
      </c>
      <c r="I22" s="37" t="s">
        <v>20</v>
      </c>
      <c r="J22" s="37" t="s">
        <v>415</v>
      </c>
      <c r="K22" s="39">
        <v>45292</v>
      </c>
      <c r="L22" s="37" t="s">
        <v>20</v>
      </c>
      <c r="M22" s="37" t="s">
        <v>585</v>
      </c>
    </row>
    <row r="23" spans="1:13" ht="90">
      <c r="A23" s="37">
        <v>22</v>
      </c>
      <c r="B23" s="37" t="s">
        <v>614</v>
      </c>
      <c r="C23" s="37" t="s">
        <v>34</v>
      </c>
      <c r="D23" s="37"/>
      <c r="E23" s="37">
        <v>100</v>
      </c>
      <c r="F23" s="37" t="s">
        <v>594</v>
      </c>
      <c r="G23" s="37" t="s">
        <v>419</v>
      </c>
      <c r="H23" s="38">
        <v>1500</v>
      </c>
      <c r="I23" s="37" t="s">
        <v>20</v>
      </c>
      <c r="J23" s="37" t="s">
        <v>415</v>
      </c>
      <c r="K23" s="39">
        <v>45292</v>
      </c>
      <c r="L23" s="37" t="s">
        <v>20</v>
      </c>
      <c r="M23" s="37" t="s">
        <v>585</v>
      </c>
    </row>
    <row r="24" spans="1:13" ht="90">
      <c r="A24" s="37">
        <v>23</v>
      </c>
      <c r="B24" s="37" t="s">
        <v>615</v>
      </c>
      <c r="C24" s="37" t="s">
        <v>34</v>
      </c>
      <c r="D24" s="37"/>
      <c r="E24" s="37">
        <v>60</v>
      </c>
      <c r="F24" s="37" t="s">
        <v>594</v>
      </c>
      <c r="G24" s="37" t="s">
        <v>419</v>
      </c>
      <c r="H24" s="38">
        <v>1500</v>
      </c>
      <c r="I24" s="37" t="s">
        <v>20</v>
      </c>
      <c r="J24" s="37" t="s">
        <v>415</v>
      </c>
      <c r="K24" s="39">
        <v>45292</v>
      </c>
      <c r="L24" s="37" t="s">
        <v>20</v>
      </c>
      <c r="M24" s="37" t="s">
        <v>585</v>
      </c>
    </row>
    <row r="25" spans="1:13" ht="90">
      <c r="A25" s="37">
        <v>24</v>
      </c>
      <c r="B25" s="37" t="s">
        <v>616</v>
      </c>
      <c r="C25" s="37" t="s">
        <v>34</v>
      </c>
      <c r="D25" s="37"/>
      <c r="E25" s="37">
        <v>30</v>
      </c>
      <c r="F25" s="37" t="s">
        <v>588</v>
      </c>
      <c r="G25" s="37" t="s">
        <v>419</v>
      </c>
      <c r="H25" s="41">
        <v>4500</v>
      </c>
      <c r="I25" s="37" t="s">
        <v>20</v>
      </c>
      <c r="J25" s="37" t="s">
        <v>415</v>
      </c>
      <c r="K25" s="39">
        <v>45292</v>
      </c>
      <c r="L25" s="37" t="s">
        <v>20</v>
      </c>
      <c r="M25" s="37" t="s">
        <v>585</v>
      </c>
    </row>
    <row r="26" spans="1:13" ht="90">
      <c r="A26" s="37">
        <v>25</v>
      </c>
      <c r="B26" s="37" t="s">
        <v>617</v>
      </c>
      <c r="C26" s="37" t="s">
        <v>34</v>
      </c>
      <c r="D26" s="37"/>
      <c r="E26" s="37">
        <v>150</v>
      </c>
      <c r="F26" s="37" t="s">
        <v>594</v>
      </c>
      <c r="G26" s="37" t="s">
        <v>419</v>
      </c>
      <c r="H26" s="38">
        <v>1500</v>
      </c>
      <c r="I26" s="37" t="s">
        <v>20</v>
      </c>
      <c r="J26" s="37" t="s">
        <v>415</v>
      </c>
      <c r="K26" s="39">
        <v>45292</v>
      </c>
      <c r="L26" s="37" t="s">
        <v>20</v>
      </c>
      <c r="M26" s="37" t="s">
        <v>585</v>
      </c>
    </row>
    <row r="27" spans="1:13" ht="90">
      <c r="A27" s="37">
        <v>26</v>
      </c>
      <c r="B27" s="37" t="s">
        <v>618</v>
      </c>
      <c r="C27" s="37" t="s">
        <v>34</v>
      </c>
      <c r="D27" s="37"/>
      <c r="E27" s="37">
        <v>100</v>
      </c>
      <c r="F27" s="37" t="s">
        <v>594</v>
      </c>
      <c r="G27" s="37" t="s">
        <v>419</v>
      </c>
      <c r="H27" s="38">
        <v>1500</v>
      </c>
      <c r="I27" s="37" t="s">
        <v>20</v>
      </c>
      <c r="J27" s="37" t="s">
        <v>415</v>
      </c>
      <c r="K27" s="39">
        <v>45292</v>
      </c>
      <c r="L27" s="37" t="s">
        <v>20</v>
      </c>
      <c r="M27" s="37" t="s">
        <v>585</v>
      </c>
    </row>
    <row r="28" spans="1:13" ht="90">
      <c r="A28" s="37">
        <v>27</v>
      </c>
      <c r="B28" s="37" t="s">
        <v>619</v>
      </c>
      <c r="C28" s="37" t="s">
        <v>34</v>
      </c>
      <c r="D28" s="37"/>
      <c r="E28" s="37">
        <v>100</v>
      </c>
      <c r="F28" s="37" t="s">
        <v>594</v>
      </c>
      <c r="G28" s="37" t="s">
        <v>419</v>
      </c>
      <c r="H28" s="38">
        <v>1500</v>
      </c>
      <c r="I28" s="37" t="s">
        <v>20</v>
      </c>
      <c r="J28" s="37" t="s">
        <v>415</v>
      </c>
      <c r="K28" s="39">
        <v>45292</v>
      </c>
      <c r="L28" s="37" t="s">
        <v>20</v>
      </c>
      <c r="M28" s="37" t="s">
        <v>585</v>
      </c>
    </row>
    <row r="29" spans="1:13" ht="90">
      <c r="A29" s="37">
        <v>28</v>
      </c>
      <c r="B29" s="37" t="s">
        <v>620</v>
      </c>
      <c r="C29" s="37" t="s">
        <v>34</v>
      </c>
      <c r="D29" s="37"/>
      <c r="E29" s="37">
        <v>200</v>
      </c>
      <c r="F29" s="37" t="s">
        <v>594</v>
      </c>
      <c r="G29" s="37" t="s">
        <v>419</v>
      </c>
      <c r="H29" s="38">
        <v>1500</v>
      </c>
      <c r="I29" s="37" t="s">
        <v>20</v>
      </c>
      <c r="J29" s="37" t="s">
        <v>415</v>
      </c>
      <c r="K29" s="39">
        <v>45292</v>
      </c>
      <c r="L29" s="37" t="s">
        <v>20</v>
      </c>
      <c r="M29" s="37" t="s">
        <v>585</v>
      </c>
    </row>
    <row r="30" spans="1:13" ht="90">
      <c r="A30" s="37">
        <v>29</v>
      </c>
      <c r="B30" s="37" t="s">
        <v>621</v>
      </c>
      <c r="C30" s="37" t="s">
        <v>34</v>
      </c>
      <c r="D30" s="37"/>
      <c r="E30" s="37">
        <v>200</v>
      </c>
      <c r="F30" s="37" t="s">
        <v>594</v>
      </c>
      <c r="G30" s="37" t="s">
        <v>419</v>
      </c>
      <c r="H30" s="38">
        <v>1200</v>
      </c>
      <c r="I30" s="37" t="s">
        <v>20</v>
      </c>
      <c r="J30" s="37" t="s">
        <v>415</v>
      </c>
      <c r="K30" s="39">
        <v>45292</v>
      </c>
      <c r="L30" s="37" t="s">
        <v>20</v>
      </c>
      <c r="M30" s="37" t="s">
        <v>585</v>
      </c>
    </row>
    <row r="31" spans="1:13" ht="90">
      <c r="A31" s="37">
        <v>30</v>
      </c>
      <c r="B31" s="37" t="s">
        <v>622</v>
      </c>
      <c r="C31" s="37" t="s">
        <v>34</v>
      </c>
      <c r="D31" s="37"/>
      <c r="E31" s="37">
        <v>60</v>
      </c>
      <c r="F31" s="37" t="s">
        <v>594</v>
      </c>
      <c r="G31" s="37" t="s">
        <v>419</v>
      </c>
      <c r="H31" s="38">
        <v>1200</v>
      </c>
      <c r="I31" s="37" t="s">
        <v>20</v>
      </c>
      <c r="J31" s="37" t="s">
        <v>415</v>
      </c>
      <c r="K31" s="39">
        <v>45292</v>
      </c>
      <c r="L31" s="37" t="s">
        <v>20</v>
      </c>
      <c r="M31" s="37" t="s">
        <v>585</v>
      </c>
    </row>
    <row r="32" spans="1:13" ht="90">
      <c r="A32" s="37">
        <v>31</v>
      </c>
      <c r="B32" s="37" t="s">
        <v>623</v>
      </c>
      <c r="C32" s="37" t="s">
        <v>34</v>
      </c>
      <c r="D32" s="37"/>
      <c r="E32" s="37">
        <v>100</v>
      </c>
      <c r="F32" s="37" t="s">
        <v>624</v>
      </c>
      <c r="G32" s="37" t="s">
        <v>419</v>
      </c>
      <c r="H32" s="38">
        <v>1500</v>
      </c>
      <c r="I32" s="37" t="s">
        <v>20</v>
      </c>
      <c r="J32" s="37" t="s">
        <v>415</v>
      </c>
      <c r="K32" s="39">
        <v>45292</v>
      </c>
      <c r="L32" s="37" t="s">
        <v>20</v>
      </c>
      <c r="M32" s="37" t="s">
        <v>585</v>
      </c>
    </row>
    <row r="33" spans="1:13" ht="90">
      <c r="A33" s="37">
        <v>32</v>
      </c>
      <c r="B33" s="37" t="s">
        <v>625</v>
      </c>
      <c r="C33" s="37" t="s">
        <v>34</v>
      </c>
      <c r="D33" s="37"/>
      <c r="E33" s="37">
        <v>30</v>
      </c>
      <c r="F33" s="37" t="s">
        <v>594</v>
      </c>
      <c r="G33" s="37" t="s">
        <v>419</v>
      </c>
      <c r="H33" s="38">
        <v>1000</v>
      </c>
      <c r="I33" s="37" t="s">
        <v>20</v>
      </c>
      <c r="J33" s="37" t="s">
        <v>415</v>
      </c>
      <c r="K33" s="39">
        <v>45292</v>
      </c>
      <c r="L33" s="37" t="s">
        <v>20</v>
      </c>
      <c r="M33" s="37" t="s">
        <v>585</v>
      </c>
    </row>
    <row r="34" spans="1:13" ht="90">
      <c r="A34" s="37">
        <v>33</v>
      </c>
      <c r="B34" s="37" t="s">
        <v>626</v>
      </c>
      <c r="C34" s="37" t="s">
        <v>34</v>
      </c>
      <c r="D34" s="37"/>
      <c r="E34" s="37">
        <v>100</v>
      </c>
      <c r="F34" s="37" t="s">
        <v>591</v>
      </c>
      <c r="G34" s="37" t="s">
        <v>419</v>
      </c>
      <c r="H34" s="38">
        <v>700</v>
      </c>
      <c r="I34" s="37" t="s">
        <v>20</v>
      </c>
      <c r="J34" s="37" t="s">
        <v>415</v>
      </c>
      <c r="K34" s="39">
        <v>45292</v>
      </c>
      <c r="L34" s="37" t="s">
        <v>20</v>
      </c>
      <c r="M34" s="37" t="s">
        <v>585</v>
      </c>
    </row>
    <row r="35" spans="1:13" ht="90">
      <c r="A35" s="37">
        <v>34</v>
      </c>
      <c r="B35" s="37" t="s">
        <v>627</v>
      </c>
      <c r="C35" s="37" t="s">
        <v>34</v>
      </c>
      <c r="D35" s="37"/>
      <c r="E35" s="37">
        <v>50</v>
      </c>
      <c r="F35" s="37" t="s">
        <v>594</v>
      </c>
      <c r="G35" s="37" t="s">
        <v>419</v>
      </c>
      <c r="H35" s="38">
        <v>400</v>
      </c>
      <c r="I35" s="37" t="s">
        <v>20</v>
      </c>
      <c r="J35" s="37" t="s">
        <v>415</v>
      </c>
      <c r="K35" s="39">
        <v>45292</v>
      </c>
      <c r="L35" s="37" t="s">
        <v>20</v>
      </c>
      <c r="M35" s="37" t="s">
        <v>585</v>
      </c>
    </row>
    <row r="36" spans="1:13" ht="90">
      <c r="A36" s="37">
        <v>35</v>
      </c>
      <c r="B36" s="37" t="s">
        <v>628</v>
      </c>
      <c r="C36" s="37" t="s">
        <v>34</v>
      </c>
      <c r="D36" s="37"/>
      <c r="E36" s="37">
        <v>200</v>
      </c>
      <c r="F36" s="37" t="s">
        <v>591</v>
      </c>
      <c r="G36" s="37" t="s">
        <v>419</v>
      </c>
      <c r="H36" s="38">
        <v>4400</v>
      </c>
      <c r="I36" s="37" t="s">
        <v>20</v>
      </c>
      <c r="J36" s="37" t="s">
        <v>415</v>
      </c>
      <c r="K36" s="39">
        <v>45292</v>
      </c>
      <c r="L36" s="37" t="s">
        <v>20</v>
      </c>
      <c r="M36" s="37" t="s">
        <v>585</v>
      </c>
    </row>
    <row r="37" spans="1:13" ht="90">
      <c r="A37" s="37">
        <v>36</v>
      </c>
      <c r="B37" s="37" t="s">
        <v>629</v>
      </c>
      <c r="C37" s="37" t="s">
        <v>34</v>
      </c>
      <c r="D37" s="37"/>
      <c r="E37" s="37">
        <v>40</v>
      </c>
      <c r="F37" s="37" t="s">
        <v>591</v>
      </c>
      <c r="G37" s="37" t="s">
        <v>419</v>
      </c>
      <c r="H37" s="38">
        <v>520</v>
      </c>
      <c r="I37" s="37" t="s">
        <v>20</v>
      </c>
      <c r="J37" s="37" t="s">
        <v>415</v>
      </c>
      <c r="K37" s="39">
        <v>45292</v>
      </c>
      <c r="L37" s="37" t="s">
        <v>20</v>
      </c>
      <c r="M37" s="37" t="s">
        <v>585</v>
      </c>
    </row>
    <row r="38" spans="1:13" ht="90">
      <c r="A38" s="37">
        <v>38</v>
      </c>
      <c r="B38" s="37" t="s">
        <v>630</v>
      </c>
      <c r="C38" s="37" t="s">
        <v>34</v>
      </c>
      <c r="D38" s="37"/>
      <c r="E38" s="37">
        <v>100</v>
      </c>
      <c r="F38" s="37" t="s">
        <v>594</v>
      </c>
      <c r="G38" s="37" t="s">
        <v>419</v>
      </c>
      <c r="H38" s="38">
        <v>1300</v>
      </c>
      <c r="I38" s="37" t="s">
        <v>20</v>
      </c>
      <c r="J38" s="37" t="s">
        <v>415</v>
      </c>
      <c r="K38" s="39">
        <v>45292</v>
      </c>
      <c r="L38" s="37" t="s">
        <v>20</v>
      </c>
      <c r="M38" s="37" t="s">
        <v>585</v>
      </c>
    </row>
    <row r="39" spans="1:13" ht="90">
      <c r="A39" s="37">
        <v>39</v>
      </c>
      <c r="B39" s="37" t="s">
        <v>631</v>
      </c>
      <c r="C39" s="37" t="s">
        <v>34</v>
      </c>
      <c r="D39" s="37"/>
      <c r="E39" s="37">
        <v>80</v>
      </c>
      <c r="F39" s="37" t="s">
        <v>594</v>
      </c>
      <c r="G39" s="37" t="s">
        <v>419</v>
      </c>
      <c r="H39" s="38">
        <v>4000</v>
      </c>
      <c r="I39" s="37" t="s">
        <v>20</v>
      </c>
      <c r="J39" s="37" t="s">
        <v>415</v>
      </c>
      <c r="K39" s="39">
        <v>45292</v>
      </c>
      <c r="L39" s="37" t="s">
        <v>20</v>
      </c>
      <c r="M39" s="37" t="s">
        <v>585</v>
      </c>
    </row>
    <row r="40" spans="1:13" ht="90">
      <c r="A40" s="37">
        <v>40</v>
      </c>
      <c r="B40" s="37" t="s">
        <v>632</v>
      </c>
      <c r="C40" s="37" t="s">
        <v>34</v>
      </c>
      <c r="D40" s="37"/>
      <c r="E40" s="37">
        <v>80</v>
      </c>
      <c r="F40" s="37" t="s">
        <v>594</v>
      </c>
      <c r="G40" s="37" t="s">
        <v>419</v>
      </c>
      <c r="H40" s="38">
        <v>4000</v>
      </c>
      <c r="I40" s="37" t="s">
        <v>20</v>
      </c>
      <c r="J40" s="37" t="s">
        <v>415</v>
      </c>
      <c r="K40" s="39">
        <v>45292</v>
      </c>
      <c r="L40" s="37" t="s">
        <v>20</v>
      </c>
      <c r="M40" s="37" t="s">
        <v>585</v>
      </c>
    </row>
    <row r="41" spans="1:13" ht="90">
      <c r="A41" s="37">
        <v>41</v>
      </c>
      <c r="B41" s="37" t="s">
        <v>633</v>
      </c>
      <c r="C41" s="37" t="s">
        <v>34</v>
      </c>
      <c r="D41" s="37"/>
      <c r="E41" s="37">
        <v>1</v>
      </c>
      <c r="F41" s="37" t="s">
        <v>594</v>
      </c>
      <c r="G41" s="37" t="s">
        <v>419</v>
      </c>
      <c r="H41" s="38">
        <v>240</v>
      </c>
      <c r="I41" s="37" t="s">
        <v>20</v>
      </c>
      <c r="J41" s="37" t="s">
        <v>415</v>
      </c>
      <c r="K41" s="39">
        <v>45292</v>
      </c>
      <c r="L41" s="37" t="s">
        <v>20</v>
      </c>
      <c r="M41" s="37" t="s">
        <v>585</v>
      </c>
    </row>
    <row r="42" spans="1:13" ht="90">
      <c r="A42" s="37">
        <v>42</v>
      </c>
      <c r="B42" s="37" t="s">
        <v>634</v>
      </c>
      <c r="C42" s="37" t="s">
        <v>34</v>
      </c>
      <c r="D42" s="37"/>
      <c r="E42" s="37">
        <v>100</v>
      </c>
      <c r="F42" s="37" t="s">
        <v>594</v>
      </c>
      <c r="G42" s="37" t="s">
        <v>419</v>
      </c>
      <c r="H42" s="38">
        <v>3000</v>
      </c>
      <c r="I42" s="37" t="s">
        <v>20</v>
      </c>
      <c r="J42" s="37" t="s">
        <v>415</v>
      </c>
      <c r="K42" s="39">
        <v>45292</v>
      </c>
      <c r="L42" s="37" t="s">
        <v>20</v>
      </c>
      <c r="M42" s="37" t="s">
        <v>585</v>
      </c>
    </row>
    <row r="43" spans="1:13" ht="90">
      <c r="A43" s="37">
        <v>45</v>
      </c>
      <c r="B43" s="37" t="s">
        <v>635</v>
      </c>
      <c r="C43" s="37" t="s">
        <v>34</v>
      </c>
      <c r="D43" s="37"/>
      <c r="E43" s="37">
        <v>30</v>
      </c>
      <c r="F43" s="37" t="s">
        <v>594</v>
      </c>
      <c r="G43" s="37" t="s">
        <v>419</v>
      </c>
      <c r="H43" s="38">
        <v>1500</v>
      </c>
      <c r="I43" s="37" t="s">
        <v>20</v>
      </c>
      <c r="J43" s="37" t="s">
        <v>415</v>
      </c>
      <c r="K43" s="39">
        <v>45292</v>
      </c>
      <c r="L43" s="37" t="s">
        <v>20</v>
      </c>
      <c r="M43" s="37" t="s">
        <v>585</v>
      </c>
    </row>
    <row r="44" spans="1:13" ht="90">
      <c r="A44" s="37">
        <v>46</v>
      </c>
      <c r="B44" s="37" t="s">
        <v>636</v>
      </c>
      <c r="C44" s="37" t="s">
        <v>34</v>
      </c>
      <c r="D44" s="37"/>
      <c r="E44" s="37">
        <v>50</v>
      </c>
      <c r="F44" s="37" t="s">
        <v>594</v>
      </c>
      <c r="G44" s="37" t="s">
        <v>419</v>
      </c>
      <c r="H44" s="38">
        <v>1000</v>
      </c>
      <c r="I44" s="37" t="s">
        <v>20</v>
      </c>
      <c r="J44" s="37" t="s">
        <v>415</v>
      </c>
      <c r="K44" s="39">
        <v>45292</v>
      </c>
      <c r="L44" s="37" t="s">
        <v>20</v>
      </c>
      <c r="M44" s="37" t="s">
        <v>585</v>
      </c>
    </row>
    <row r="45" spans="1:13" ht="90">
      <c r="A45" s="37">
        <v>47</v>
      </c>
      <c r="B45" s="37" t="s">
        <v>637</v>
      </c>
      <c r="C45" s="37" t="s">
        <v>34</v>
      </c>
      <c r="D45" s="37"/>
      <c r="E45" s="37">
        <v>50</v>
      </c>
      <c r="F45" s="37" t="s">
        <v>594</v>
      </c>
      <c r="G45" s="37" t="s">
        <v>419</v>
      </c>
      <c r="H45" s="38">
        <v>1000</v>
      </c>
      <c r="I45" s="37" t="s">
        <v>20</v>
      </c>
      <c r="J45" s="37" t="s">
        <v>415</v>
      </c>
      <c r="K45" s="39">
        <v>45292</v>
      </c>
      <c r="L45" s="37" t="s">
        <v>20</v>
      </c>
      <c r="M45" s="37" t="s">
        <v>585</v>
      </c>
    </row>
    <row r="46" spans="1:13" ht="90">
      <c r="A46" s="37">
        <v>48</v>
      </c>
      <c r="B46" s="37" t="s">
        <v>85</v>
      </c>
      <c r="C46" s="37" t="s">
        <v>34</v>
      </c>
      <c r="D46" s="37"/>
      <c r="E46" s="37">
        <v>300</v>
      </c>
      <c r="F46" s="37" t="s">
        <v>594</v>
      </c>
      <c r="G46" s="37" t="s">
        <v>419</v>
      </c>
      <c r="H46" s="38">
        <v>3000</v>
      </c>
      <c r="I46" s="37" t="s">
        <v>20</v>
      </c>
      <c r="J46" s="37" t="s">
        <v>415</v>
      </c>
      <c r="K46" s="39">
        <v>45292</v>
      </c>
      <c r="L46" s="37" t="s">
        <v>20</v>
      </c>
      <c r="M46" s="37" t="s">
        <v>585</v>
      </c>
    </row>
    <row r="47" spans="1:13" ht="90">
      <c r="A47" s="37">
        <v>49</v>
      </c>
      <c r="B47" s="37" t="s">
        <v>638</v>
      </c>
      <c r="C47" s="37" t="s">
        <v>34</v>
      </c>
      <c r="D47" s="37"/>
      <c r="E47" s="37">
        <v>100</v>
      </c>
      <c r="F47" s="37" t="s">
        <v>591</v>
      </c>
      <c r="G47" s="37" t="s">
        <v>419</v>
      </c>
      <c r="H47" s="41">
        <v>1000</v>
      </c>
      <c r="I47" s="37" t="s">
        <v>20</v>
      </c>
      <c r="J47" s="37" t="s">
        <v>415</v>
      </c>
      <c r="K47" s="39">
        <v>45292</v>
      </c>
      <c r="L47" s="37" t="s">
        <v>20</v>
      </c>
      <c r="M47" s="37" t="s">
        <v>585</v>
      </c>
    </row>
    <row r="48" spans="1:13" ht="90">
      <c r="A48" s="37">
        <v>50</v>
      </c>
      <c r="B48" s="37" t="s">
        <v>639</v>
      </c>
      <c r="C48" s="37" t="s">
        <v>34</v>
      </c>
      <c r="D48" s="37"/>
      <c r="E48" s="37">
        <v>100</v>
      </c>
      <c r="F48" s="37" t="s">
        <v>594</v>
      </c>
      <c r="G48" s="37" t="s">
        <v>419</v>
      </c>
      <c r="H48" s="38">
        <v>500</v>
      </c>
      <c r="I48" s="37" t="s">
        <v>20</v>
      </c>
      <c r="J48" s="37" t="s">
        <v>415</v>
      </c>
      <c r="K48" s="39">
        <v>45292</v>
      </c>
      <c r="L48" s="37" t="s">
        <v>20</v>
      </c>
      <c r="M48" s="37" t="s">
        <v>585</v>
      </c>
    </row>
    <row r="49" spans="1:13" ht="90">
      <c r="A49" s="37">
        <v>51</v>
      </c>
      <c r="B49" s="37" t="s">
        <v>640</v>
      </c>
      <c r="C49" s="37" t="s">
        <v>34</v>
      </c>
      <c r="D49" s="37"/>
      <c r="E49" s="37">
        <v>100</v>
      </c>
      <c r="F49" s="37" t="s">
        <v>594</v>
      </c>
      <c r="G49" s="37" t="s">
        <v>419</v>
      </c>
      <c r="H49" s="38">
        <v>500</v>
      </c>
      <c r="I49" s="37" t="s">
        <v>20</v>
      </c>
      <c r="J49" s="37" t="s">
        <v>415</v>
      </c>
      <c r="K49" s="39">
        <v>45292</v>
      </c>
      <c r="L49" s="37" t="s">
        <v>20</v>
      </c>
      <c r="M49" s="37" t="s">
        <v>585</v>
      </c>
    </row>
    <row r="50" spans="1:13" ht="90">
      <c r="A50" s="37">
        <v>52</v>
      </c>
      <c r="B50" s="37" t="s">
        <v>641</v>
      </c>
      <c r="C50" s="37" t="s">
        <v>34</v>
      </c>
      <c r="D50" s="37"/>
      <c r="E50" s="37">
        <v>1000</v>
      </c>
      <c r="F50" s="37" t="s">
        <v>591</v>
      </c>
      <c r="G50" s="37" t="s">
        <v>419</v>
      </c>
      <c r="H50" s="43">
        <v>18000</v>
      </c>
      <c r="I50" s="37" t="s">
        <v>20</v>
      </c>
      <c r="J50" s="37" t="s">
        <v>415</v>
      </c>
      <c r="K50" s="39">
        <v>45292</v>
      </c>
      <c r="L50" s="37" t="s">
        <v>20</v>
      </c>
      <c r="M50" s="37" t="s">
        <v>585</v>
      </c>
    </row>
    <row r="51" spans="1:13" ht="90">
      <c r="A51" s="37">
        <v>53</v>
      </c>
      <c r="B51" s="37" t="s">
        <v>642</v>
      </c>
      <c r="C51" s="37" t="s">
        <v>34</v>
      </c>
      <c r="D51" s="37"/>
      <c r="E51" s="37">
        <v>500</v>
      </c>
      <c r="F51" s="37" t="s">
        <v>591</v>
      </c>
      <c r="G51" s="37" t="s">
        <v>419</v>
      </c>
      <c r="H51" s="38">
        <v>7000</v>
      </c>
      <c r="I51" s="37" t="s">
        <v>20</v>
      </c>
      <c r="J51" s="37" t="s">
        <v>415</v>
      </c>
      <c r="K51" s="39">
        <v>45292</v>
      </c>
      <c r="L51" s="37" t="s">
        <v>20</v>
      </c>
      <c r="M51" s="37" t="s">
        <v>585</v>
      </c>
    </row>
    <row r="52" spans="1:13" ht="90">
      <c r="A52" s="37">
        <v>55</v>
      </c>
      <c r="B52" s="37" t="s">
        <v>643</v>
      </c>
      <c r="C52" s="37" t="s">
        <v>34</v>
      </c>
      <c r="D52" s="37"/>
      <c r="E52" s="37">
        <v>100</v>
      </c>
      <c r="F52" s="37" t="s">
        <v>594</v>
      </c>
      <c r="G52" s="37" t="s">
        <v>419</v>
      </c>
      <c r="H52" s="38">
        <v>2400</v>
      </c>
      <c r="I52" s="37" t="s">
        <v>20</v>
      </c>
      <c r="J52" s="37" t="s">
        <v>415</v>
      </c>
      <c r="K52" s="39">
        <v>45292</v>
      </c>
      <c r="L52" s="37" t="s">
        <v>20</v>
      </c>
      <c r="M52" s="37" t="s">
        <v>585</v>
      </c>
    </row>
    <row r="53" spans="1:13" ht="90">
      <c r="A53" s="37">
        <v>56</v>
      </c>
      <c r="B53" s="37" t="s">
        <v>644</v>
      </c>
      <c r="C53" s="37" t="s">
        <v>34</v>
      </c>
      <c r="D53" s="37"/>
      <c r="E53" s="37">
        <v>100</v>
      </c>
      <c r="F53" s="37" t="s">
        <v>594</v>
      </c>
      <c r="G53" s="37" t="s">
        <v>419</v>
      </c>
      <c r="H53" s="38">
        <v>2000</v>
      </c>
      <c r="I53" s="37" t="s">
        <v>20</v>
      </c>
      <c r="J53" s="37" t="s">
        <v>415</v>
      </c>
      <c r="K53" s="39">
        <v>45292</v>
      </c>
      <c r="L53" s="37" t="s">
        <v>20</v>
      </c>
      <c r="M53" s="37" t="s">
        <v>585</v>
      </c>
    </row>
    <row r="54" spans="1:13" ht="90">
      <c r="A54" s="37">
        <v>57</v>
      </c>
      <c r="B54" s="37" t="s">
        <v>645</v>
      </c>
      <c r="C54" s="37" t="s">
        <v>34</v>
      </c>
      <c r="D54" s="37"/>
      <c r="E54" s="37">
        <v>100</v>
      </c>
      <c r="F54" s="37" t="s">
        <v>594</v>
      </c>
      <c r="G54" s="37" t="s">
        <v>419</v>
      </c>
      <c r="H54" s="38">
        <v>2000</v>
      </c>
      <c r="I54" s="37" t="s">
        <v>20</v>
      </c>
      <c r="J54" s="37" t="s">
        <v>415</v>
      </c>
      <c r="K54" s="39">
        <v>45292</v>
      </c>
      <c r="L54" s="37" t="s">
        <v>20</v>
      </c>
      <c r="M54" s="37" t="s">
        <v>585</v>
      </c>
    </row>
    <row r="55" spans="1:13" ht="90">
      <c r="A55" s="37">
        <v>58</v>
      </c>
      <c r="B55" s="37" t="s">
        <v>646</v>
      </c>
      <c r="C55" s="37" t="s">
        <v>34</v>
      </c>
      <c r="D55" s="37"/>
      <c r="E55" s="37">
        <v>100</v>
      </c>
      <c r="F55" s="37" t="s">
        <v>594</v>
      </c>
      <c r="G55" s="37" t="s">
        <v>419</v>
      </c>
      <c r="H55" s="38">
        <v>2000</v>
      </c>
      <c r="I55" s="37" t="s">
        <v>20</v>
      </c>
      <c r="J55" s="37" t="s">
        <v>415</v>
      </c>
      <c r="K55" s="39">
        <v>45292</v>
      </c>
      <c r="L55" s="37" t="s">
        <v>20</v>
      </c>
      <c r="M55" s="37" t="s">
        <v>585</v>
      </c>
    </row>
    <row r="56" spans="1:13" ht="90">
      <c r="A56" s="37">
        <v>59</v>
      </c>
      <c r="B56" s="37" t="s">
        <v>647</v>
      </c>
      <c r="C56" s="37" t="s">
        <v>34</v>
      </c>
      <c r="D56" s="37"/>
      <c r="E56" s="37">
        <v>100</v>
      </c>
      <c r="F56" s="37" t="s">
        <v>594</v>
      </c>
      <c r="G56" s="37" t="s">
        <v>419</v>
      </c>
      <c r="H56" s="38">
        <v>1500</v>
      </c>
      <c r="I56" s="37" t="s">
        <v>20</v>
      </c>
      <c r="J56" s="37" t="s">
        <v>415</v>
      </c>
      <c r="K56" s="39">
        <v>45292</v>
      </c>
      <c r="L56" s="37" t="s">
        <v>20</v>
      </c>
      <c r="M56" s="37" t="s">
        <v>585</v>
      </c>
    </row>
    <row r="57" spans="1:13" ht="90">
      <c r="A57" s="37">
        <v>67</v>
      </c>
      <c r="B57" s="37" t="s">
        <v>648</v>
      </c>
      <c r="C57" s="37" t="s">
        <v>34</v>
      </c>
      <c r="D57" s="37"/>
      <c r="E57" s="37">
        <v>100</v>
      </c>
      <c r="F57" s="37" t="s">
        <v>594</v>
      </c>
      <c r="G57" s="37" t="s">
        <v>419</v>
      </c>
      <c r="H57" s="41">
        <v>2500</v>
      </c>
      <c r="I57" s="37" t="s">
        <v>20</v>
      </c>
      <c r="J57" s="37" t="s">
        <v>415</v>
      </c>
      <c r="K57" s="39">
        <v>45292</v>
      </c>
      <c r="L57" s="37" t="s">
        <v>20</v>
      </c>
      <c r="M57" s="37" t="s">
        <v>585</v>
      </c>
    </row>
    <row r="58" spans="1:13" ht="90">
      <c r="A58" s="37">
        <v>70</v>
      </c>
      <c r="B58" s="37" t="s">
        <v>649</v>
      </c>
      <c r="C58" s="37" t="s">
        <v>34</v>
      </c>
      <c r="D58" s="37"/>
      <c r="E58" s="37">
        <v>100</v>
      </c>
      <c r="F58" s="37" t="s">
        <v>594</v>
      </c>
      <c r="G58" s="37" t="s">
        <v>419</v>
      </c>
      <c r="H58" s="38">
        <v>1500</v>
      </c>
      <c r="I58" s="37" t="s">
        <v>20</v>
      </c>
      <c r="J58" s="37" t="s">
        <v>415</v>
      </c>
      <c r="K58" s="39">
        <v>45292</v>
      </c>
      <c r="L58" s="37" t="s">
        <v>20</v>
      </c>
      <c r="M58" s="37" t="s">
        <v>585</v>
      </c>
    </row>
    <row r="59" spans="1:13" ht="90">
      <c r="A59" s="37">
        <v>72</v>
      </c>
      <c r="B59" s="37" t="s">
        <v>650</v>
      </c>
      <c r="C59" s="37" t="s">
        <v>34</v>
      </c>
      <c r="D59" s="37"/>
      <c r="E59" s="37">
        <v>50</v>
      </c>
      <c r="F59" s="37" t="s">
        <v>594</v>
      </c>
      <c r="G59" s="37" t="s">
        <v>419</v>
      </c>
      <c r="H59" s="38">
        <v>500</v>
      </c>
      <c r="I59" s="37" t="s">
        <v>20</v>
      </c>
      <c r="J59" s="37" t="s">
        <v>415</v>
      </c>
      <c r="K59" s="39">
        <v>45292</v>
      </c>
      <c r="L59" s="37" t="s">
        <v>20</v>
      </c>
      <c r="M59" s="37" t="s">
        <v>585</v>
      </c>
    </row>
    <row r="60" spans="1:13" ht="90">
      <c r="A60" s="37">
        <v>74</v>
      </c>
      <c r="B60" s="37" t="s">
        <v>651</v>
      </c>
      <c r="C60" s="37" t="s">
        <v>34</v>
      </c>
      <c r="D60" s="37"/>
      <c r="E60" s="37">
        <v>10</v>
      </c>
      <c r="F60" s="37" t="s">
        <v>594</v>
      </c>
      <c r="G60" s="37" t="s">
        <v>419</v>
      </c>
      <c r="H60" s="43">
        <v>2500</v>
      </c>
      <c r="I60" s="37" t="s">
        <v>20</v>
      </c>
      <c r="J60" s="37" t="s">
        <v>415</v>
      </c>
      <c r="K60" s="39">
        <v>45292</v>
      </c>
      <c r="L60" s="37" t="s">
        <v>20</v>
      </c>
      <c r="M60" s="37" t="s">
        <v>585</v>
      </c>
    </row>
    <row r="61" spans="1:13" ht="90">
      <c r="A61" s="37">
        <v>77</v>
      </c>
      <c r="B61" s="37" t="s">
        <v>652</v>
      </c>
      <c r="C61" s="37" t="s">
        <v>34</v>
      </c>
      <c r="D61" s="37"/>
      <c r="E61" s="37">
        <v>300</v>
      </c>
      <c r="F61" s="37" t="s">
        <v>594</v>
      </c>
      <c r="G61" s="37" t="s">
        <v>589</v>
      </c>
      <c r="H61" s="38">
        <v>6300</v>
      </c>
      <c r="I61" s="37" t="s">
        <v>20</v>
      </c>
      <c r="J61" s="37" t="s">
        <v>415</v>
      </c>
      <c r="K61" s="39">
        <v>45292</v>
      </c>
      <c r="L61" s="37" t="s">
        <v>20</v>
      </c>
      <c r="M61" s="37" t="s">
        <v>585</v>
      </c>
    </row>
    <row r="62" spans="1:13" ht="90">
      <c r="A62" s="37">
        <v>78</v>
      </c>
      <c r="B62" s="37" t="s">
        <v>653</v>
      </c>
      <c r="C62" s="37" t="s">
        <v>34</v>
      </c>
      <c r="D62" s="37"/>
      <c r="E62" s="37">
        <v>300</v>
      </c>
      <c r="F62" s="37" t="s">
        <v>594</v>
      </c>
      <c r="G62" s="37" t="s">
        <v>589</v>
      </c>
      <c r="H62" s="38">
        <v>6000</v>
      </c>
      <c r="I62" s="37" t="s">
        <v>20</v>
      </c>
      <c r="J62" s="37" t="s">
        <v>415</v>
      </c>
      <c r="K62" s="39">
        <v>45292</v>
      </c>
      <c r="L62" s="37" t="s">
        <v>20</v>
      </c>
      <c r="M62" s="37" t="s">
        <v>585</v>
      </c>
    </row>
    <row r="63" spans="1:13" ht="90">
      <c r="A63" s="37">
        <v>79</v>
      </c>
      <c r="B63" s="37" t="s">
        <v>654</v>
      </c>
      <c r="C63" s="37" t="s">
        <v>34</v>
      </c>
      <c r="D63" s="37"/>
      <c r="E63" s="37">
        <v>300</v>
      </c>
      <c r="F63" s="37" t="s">
        <v>594</v>
      </c>
      <c r="G63" s="37" t="s">
        <v>589</v>
      </c>
      <c r="H63" s="38">
        <v>6000</v>
      </c>
      <c r="I63" s="37" t="s">
        <v>20</v>
      </c>
      <c r="J63" s="37" t="s">
        <v>415</v>
      </c>
      <c r="K63" s="39">
        <v>45292</v>
      </c>
      <c r="L63" s="37" t="s">
        <v>20</v>
      </c>
      <c r="M63" s="37" t="s">
        <v>585</v>
      </c>
    </row>
    <row r="64" spans="1:13" ht="90">
      <c r="A64" s="37">
        <v>80</v>
      </c>
      <c r="B64" s="37" t="s">
        <v>655</v>
      </c>
      <c r="C64" s="37" t="s">
        <v>34</v>
      </c>
      <c r="D64" s="37"/>
      <c r="E64" s="37">
        <v>300</v>
      </c>
      <c r="F64" s="37" t="s">
        <v>594</v>
      </c>
      <c r="G64" s="37" t="s">
        <v>589</v>
      </c>
      <c r="H64" s="38">
        <v>6000</v>
      </c>
      <c r="I64" s="37" t="s">
        <v>20</v>
      </c>
      <c r="J64" s="37" t="s">
        <v>415</v>
      </c>
      <c r="K64" s="39">
        <v>45292</v>
      </c>
      <c r="L64" s="37" t="s">
        <v>20</v>
      </c>
      <c r="M64" s="37" t="s">
        <v>585</v>
      </c>
    </row>
    <row r="65" spans="1:13" ht="90">
      <c r="A65" s="37">
        <v>81</v>
      </c>
      <c r="B65" s="37" t="s">
        <v>656</v>
      </c>
      <c r="C65" s="37" t="s">
        <v>34</v>
      </c>
      <c r="D65" s="37"/>
      <c r="E65" s="37">
        <v>300</v>
      </c>
      <c r="F65" s="37" t="s">
        <v>594</v>
      </c>
      <c r="G65" s="37" t="s">
        <v>589</v>
      </c>
      <c r="H65" s="38">
        <v>5400</v>
      </c>
      <c r="I65" s="37" t="s">
        <v>20</v>
      </c>
      <c r="J65" s="37" t="s">
        <v>415</v>
      </c>
      <c r="K65" s="39">
        <v>45292</v>
      </c>
      <c r="L65" s="37" t="s">
        <v>20</v>
      </c>
      <c r="M65" s="37" t="s">
        <v>585</v>
      </c>
    </row>
    <row r="66" spans="1:13" ht="90">
      <c r="A66" s="37">
        <v>82</v>
      </c>
      <c r="B66" s="37" t="s">
        <v>657</v>
      </c>
      <c r="C66" s="37" t="s">
        <v>34</v>
      </c>
      <c r="D66" s="37"/>
      <c r="E66" s="37">
        <v>300</v>
      </c>
      <c r="F66" s="37" t="s">
        <v>594</v>
      </c>
      <c r="G66" s="37" t="s">
        <v>589</v>
      </c>
      <c r="H66" s="38">
        <v>7500</v>
      </c>
      <c r="I66" s="37" t="s">
        <v>20</v>
      </c>
      <c r="J66" s="37" t="s">
        <v>415</v>
      </c>
      <c r="K66" s="39">
        <v>45292</v>
      </c>
      <c r="L66" s="37" t="s">
        <v>20</v>
      </c>
      <c r="M66" s="37" t="s">
        <v>585</v>
      </c>
    </row>
    <row r="67" spans="1:13" ht="90">
      <c r="A67" s="37">
        <v>84</v>
      </c>
      <c r="B67" s="37" t="s">
        <v>658</v>
      </c>
      <c r="C67" s="37" t="s">
        <v>34</v>
      </c>
      <c r="D67" s="37"/>
      <c r="E67" s="37">
        <v>300</v>
      </c>
      <c r="F67" s="37" t="s">
        <v>594</v>
      </c>
      <c r="G67" s="37" t="s">
        <v>589</v>
      </c>
      <c r="H67" s="38">
        <v>3000</v>
      </c>
      <c r="I67" s="37" t="s">
        <v>20</v>
      </c>
      <c r="J67" s="37" t="s">
        <v>415</v>
      </c>
      <c r="K67" s="39">
        <v>45292</v>
      </c>
      <c r="L67" s="37" t="s">
        <v>20</v>
      </c>
      <c r="M67" s="37" t="s">
        <v>585</v>
      </c>
    </row>
    <row r="68" spans="1:13" ht="90">
      <c r="A68" s="37">
        <v>86</v>
      </c>
      <c r="B68" s="37" t="s">
        <v>659</v>
      </c>
      <c r="C68" s="37" t="s">
        <v>34</v>
      </c>
      <c r="D68" s="37"/>
      <c r="E68" s="37">
        <v>300</v>
      </c>
      <c r="F68" s="37" t="s">
        <v>594</v>
      </c>
      <c r="G68" s="37" t="s">
        <v>589</v>
      </c>
      <c r="H68" s="38">
        <v>4500</v>
      </c>
      <c r="I68" s="37" t="s">
        <v>20</v>
      </c>
      <c r="J68" s="37" t="s">
        <v>415</v>
      </c>
      <c r="K68" s="39">
        <v>45292</v>
      </c>
      <c r="L68" s="37" t="s">
        <v>20</v>
      </c>
      <c r="M68" s="37" t="s">
        <v>585</v>
      </c>
    </row>
    <row r="69" spans="1:13" ht="90">
      <c r="A69" s="37">
        <v>87</v>
      </c>
      <c r="B69" s="37" t="s">
        <v>660</v>
      </c>
      <c r="C69" s="37" t="s">
        <v>34</v>
      </c>
      <c r="D69" s="37"/>
      <c r="E69" s="37">
        <v>300</v>
      </c>
      <c r="F69" s="37" t="s">
        <v>594</v>
      </c>
      <c r="G69" s="37" t="s">
        <v>589</v>
      </c>
      <c r="H69" s="38">
        <v>6000</v>
      </c>
      <c r="I69" s="37" t="s">
        <v>20</v>
      </c>
      <c r="J69" s="37" t="s">
        <v>415</v>
      </c>
      <c r="K69" s="39">
        <v>45292</v>
      </c>
      <c r="L69" s="37" t="s">
        <v>20</v>
      </c>
      <c r="M69" s="37" t="s">
        <v>585</v>
      </c>
    </row>
    <row r="70" spans="1:13" ht="90">
      <c r="A70" s="37">
        <v>88</v>
      </c>
      <c r="B70" s="37" t="s">
        <v>661</v>
      </c>
      <c r="C70" s="37" t="s">
        <v>34</v>
      </c>
      <c r="D70" s="37"/>
      <c r="E70" s="37">
        <v>100</v>
      </c>
      <c r="F70" s="37" t="s">
        <v>594</v>
      </c>
      <c r="G70" s="37" t="s">
        <v>589</v>
      </c>
      <c r="H70" s="38">
        <v>3000</v>
      </c>
      <c r="I70" s="37" t="s">
        <v>20</v>
      </c>
      <c r="J70" s="37" t="s">
        <v>415</v>
      </c>
      <c r="K70" s="39">
        <v>45292</v>
      </c>
      <c r="L70" s="37" t="s">
        <v>20</v>
      </c>
      <c r="M70" s="37" t="s">
        <v>585</v>
      </c>
    </row>
    <row r="71" spans="1:13" ht="90">
      <c r="A71" s="37">
        <v>89</v>
      </c>
      <c r="B71" s="37" t="s">
        <v>662</v>
      </c>
      <c r="C71" s="37" t="s">
        <v>34</v>
      </c>
      <c r="D71" s="37"/>
      <c r="E71" s="37">
        <v>100</v>
      </c>
      <c r="F71" s="37" t="s">
        <v>594</v>
      </c>
      <c r="G71" s="37" t="s">
        <v>589</v>
      </c>
      <c r="H71" s="38">
        <v>6000</v>
      </c>
      <c r="I71" s="37" t="s">
        <v>20</v>
      </c>
      <c r="J71" s="37" t="s">
        <v>415</v>
      </c>
      <c r="K71" s="39">
        <v>45292</v>
      </c>
      <c r="L71" s="37" t="s">
        <v>20</v>
      </c>
      <c r="M71" s="37" t="s">
        <v>585</v>
      </c>
    </row>
    <row r="72" spans="1:13" ht="90">
      <c r="A72" s="37">
        <v>90</v>
      </c>
      <c r="B72" s="37" t="s">
        <v>663</v>
      </c>
      <c r="C72" s="37" t="s">
        <v>34</v>
      </c>
      <c r="D72" s="37"/>
      <c r="E72" s="37">
        <v>100</v>
      </c>
      <c r="F72" s="37" t="s">
        <v>594</v>
      </c>
      <c r="G72" s="37" t="s">
        <v>589</v>
      </c>
      <c r="H72" s="38">
        <v>6000</v>
      </c>
      <c r="I72" s="37" t="s">
        <v>20</v>
      </c>
      <c r="J72" s="37" t="s">
        <v>415</v>
      </c>
      <c r="K72" s="39">
        <v>45292</v>
      </c>
      <c r="L72" s="37" t="s">
        <v>20</v>
      </c>
      <c r="M72" s="37" t="s">
        <v>585</v>
      </c>
    </row>
    <row r="73" spans="1:13" ht="90">
      <c r="A73" s="37">
        <v>91</v>
      </c>
      <c r="B73" s="37" t="s">
        <v>664</v>
      </c>
      <c r="C73" s="37" t="s">
        <v>34</v>
      </c>
      <c r="D73" s="37"/>
      <c r="E73" s="37">
        <v>20</v>
      </c>
      <c r="F73" s="37" t="s">
        <v>594</v>
      </c>
      <c r="G73" s="37" t="s">
        <v>589</v>
      </c>
      <c r="H73" s="38">
        <v>4000</v>
      </c>
      <c r="I73" s="37" t="s">
        <v>20</v>
      </c>
      <c r="J73" s="37" t="s">
        <v>415</v>
      </c>
      <c r="K73" s="39">
        <v>45292</v>
      </c>
      <c r="L73" s="37" t="s">
        <v>20</v>
      </c>
      <c r="M73" s="37" t="s">
        <v>585</v>
      </c>
    </row>
    <row r="74" spans="1:13" ht="90">
      <c r="A74" s="37">
        <v>92</v>
      </c>
      <c r="B74" s="37" t="s">
        <v>665</v>
      </c>
      <c r="C74" s="37" t="s">
        <v>34</v>
      </c>
      <c r="D74" s="37"/>
      <c r="E74" s="37">
        <v>300</v>
      </c>
      <c r="F74" s="37" t="s">
        <v>594</v>
      </c>
      <c r="G74" s="37" t="s">
        <v>589</v>
      </c>
      <c r="H74" s="38">
        <v>1000</v>
      </c>
      <c r="I74" s="37" t="s">
        <v>20</v>
      </c>
      <c r="J74" s="37" t="s">
        <v>415</v>
      </c>
      <c r="K74" s="39">
        <v>45292</v>
      </c>
      <c r="L74" s="37" t="s">
        <v>20</v>
      </c>
      <c r="M74" s="37" t="s">
        <v>585</v>
      </c>
    </row>
    <row r="75" spans="1:13" ht="90">
      <c r="A75" s="37">
        <v>93</v>
      </c>
      <c r="B75" s="37" t="s">
        <v>666</v>
      </c>
      <c r="C75" s="37" t="s">
        <v>34</v>
      </c>
      <c r="D75" s="37"/>
      <c r="E75" s="37">
        <v>300</v>
      </c>
      <c r="F75" s="37" t="s">
        <v>594</v>
      </c>
      <c r="G75" s="37" t="s">
        <v>589</v>
      </c>
      <c r="H75" s="38">
        <v>1000</v>
      </c>
      <c r="I75" s="37" t="s">
        <v>20</v>
      </c>
      <c r="J75" s="37" t="s">
        <v>415</v>
      </c>
      <c r="K75" s="39">
        <v>45292</v>
      </c>
      <c r="L75" s="37" t="s">
        <v>20</v>
      </c>
      <c r="M75" s="37" t="s">
        <v>585</v>
      </c>
    </row>
    <row r="76" spans="1:13" ht="90">
      <c r="A76" s="37">
        <v>94</v>
      </c>
      <c r="B76" s="37" t="s">
        <v>667</v>
      </c>
      <c r="C76" s="37" t="s">
        <v>34</v>
      </c>
      <c r="D76" s="37"/>
      <c r="E76" s="37">
        <v>100</v>
      </c>
      <c r="F76" s="37" t="s">
        <v>594</v>
      </c>
      <c r="G76" s="37" t="s">
        <v>589</v>
      </c>
      <c r="H76" s="38">
        <v>2000</v>
      </c>
      <c r="I76" s="37" t="s">
        <v>20</v>
      </c>
      <c r="J76" s="37" t="s">
        <v>415</v>
      </c>
      <c r="K76" s="39">
        <v>45292</v>
      </c>
      <c r="L76" s="37" t="s">
        <v>20</v>
      </c>
      <c r="M76" s="37" t="s">
        <v>585</v>
      </c>
    </row>
    <row r="77" spans="1:13" ht="90">
      <c r="A77" s="37">
        <v>95</v>
      </c>
      <c r="B77" s="37" t="s">
        <v>668</v>
      </c>
      <c r="C77" s="37" t="s">
        <v>34</v>
      </c>
      <c r="D77" s="37"/>
      <c r="E77" s="37">
        <v>100</v>
      </c>
      <c r="F77" s="37" t="s">
        <v>594</v>
      </c>
      <c r="G77" s="37" t="s">
        <v>589</v>
      </c>
      <c r="H77" s="41">
        <v>1700</v>
      </c>
      <c r="I77" s="37" t="s">
        <v>20</v>
      </c>
      <c r="J77" s="37" t="s">
        <v>415</v>
      </c>
      <c r="K77" s="39">
        <v>45292</v>
      </c>
      <c r="L77" s="37" t="s">
        <v>20</v>
      </c>
      <c r="M77" s="37" t="s">
        <v>585</v>
      </c>
    </row>
    <row r="78" spans="1:13" ht="90">
      <c r="A78" s="37">
        <v>96</v>
      </c>
      <c r="B78" s="37" t="s">
        <v>669</v>
      </c>
      <c r="C78" s="37" t="s">
        <v>34</v>
      </c>
      <c r="D78" s="37"/>
      <c r="E78" s="37">
        <v>100</v>
      </c>
      <c r="F78" s="37" t="s">
        <v>594</v>
      </c>
      <c r="G78" s="37" t="s">
        <v>589</v>
      </c>
      <c r="H78" s="38">
        <v>1700</v>
      </c>
      <c r="I78" s="37" t="s">
        <v>20</v>
      </c>
      <c r="J78" s="37" t="s">
        <v>415</v>
      </c>
      <c r="K78" s="39">
        <v>45292</v>
      </c>
      <c r="L78" s="37" t="s">
        <v>20</v>
      </c>
      <c r="M78" s="37" t="s">
        <v>585</v>
      </c>
    </row>
    <row r="79" spans="1:13" ht="90">
      <c r="A79" s="37">
        <v>97</v>
      </c>
      <c r="B79" s="37" t="s">
        <v>670</v>
      </c>
      <c r="C79" s="37" t="s">
        <v>34</v>
      </c>
      <c r="D79" s="37"/>
      <c r="E79" s="37">
        <v>100</v>
      </c>
      <c r="F79" s="37" t="s">
        <v>594</v>
      </c>
      <c r="G79" s="37" t="s">
        <v>589</v>
      </c>
      <c r="H79" s="38">
        <v>1700</v>
      </c>
      <c r="I79" s="37" t="s">
        <v>20</v>
      </c>
      <c r="J79" s="37" t="s">
        <v>415</v>
      </c>
      <c r="K79" s="39">
        <v>45292</v>
      </c>
      <c r="L79" s="37" t="s">
        <v>20</v>
      </c>
      <c r="M79" s="37" t="s">
        <v>585</v>
      </c>
    </row>
    <row r="80" spans="1:13" ht="90">
      <c r="A80" s="37">
        <v>98</v>
      </c>
      <c r="B80" s="37" t="s">
        <v>671</v>
      </c>
      <c r="C80" s="37" t="s">
        <v>672</v>
      </c>
      <c r="D80" s="37"/>
      <c r="E80" s="37">
        <v>100</v>
      </c>
      <c r="F80" s="37" t="s">
        <v>594</v>
      </c>
      <c r="G80" s="37" t="s">
        <v>589</v>
      </c>
      <c r="H80" s="38">
        <v>2000</v>
      </c>
      <c r="I80" s="37" t="s">
        <v>20</v>
      </c>
      <c r="J80" s="37" t="s">
        <v>415</v>
      </c>
      <c r="K80" s="39">
        <v>45292</v>
      </c>
      <c r="L80" s="37" t="s">
        <v>20</v>
      </c>
      <c r="M80" s="37" t="s">
        <v>585</v>
      </c>
    </row>
    <row r="81" spans="1:13" ht="90">
      <c r="A81" s="37">
        <v>99</v>
      </c>
      <c r="B81" s="37" t="s">
        <v>673</v>
      </c>
      <c r="C81" s="37" t="s">
        <v>34</v>
      </c>
      <c r="D81" s="37"/>
      <c r="E81" s="37">
        <v>50</v>
      </c>
      <c r="F81" s="37" t="s">
        <v>594</v>
      </c>
      <c r="G81" s="37" t="s">
        <v>589</v>
      </c>
      <c r="H81" s="38">
        <v>1500</v>
      </c>
      <c r="I81" s="37" t="s">
        <v>20</v>
      </c>
      <c r="J81" s="37" t="s">
        <v>415</v>
      </c>
      <c r="K81" s="39">
        <v>45292</v>
      </c>
      <c r="L81" s="37" t="s">
        <v>20</v>
      </c>
      <c r="M81" s="37" t="s">
        <v>585</v>
      </c>
    </row>
    <row r="82" spans="1:13" ht="90">
      <c r="A82" s="37">
        <v>100</v>
      </c>
      <c r="B82" s="37" t="s">
        <v>674</v>
      </c>
      <c r="C82" s="37" t="s">
        <v>34</v>
      </c>
      <c r="D82" s="37"/>
      <c r="E82" s="37">
        <v>1000</v>
      </c>
      <c r="F82" s="37" t="s">
        <v>675</v>
      </c>
      <c r="G82" s="37" t="s">
        <v>589</v>
      </c>
      <c r="H82" s="38">
        <v>1200</v>
      </c>
      <c r="I82" s="37" t="s">
        <v>20</v>
      </c>
      <c r="J82" s="37" t="s">
        <v>415</v>
      </c>
      <c r="K82" s="39">
        <v>45292</v>
      </c>
      <c r="L82" s="37" t="s">
        <v>20</v>
      </c>
      <c r="M82" s="37" t="s">
        <v>585</v>
      </c>
    </row>
    <row r="83" spans="1:13" ht="90">
      <c r="A83" s="37">
        <v>101</v>
      </c>
      <c r="B83" s="37" t="s">
        <v>676</v>
      </c>
      <c r="C83" s="37" t="s">
        <v>34</v>
      </c>
      <c r="D83" s="37"/>
      <c r="E83" s="37">
        <v>1000</v>
      </c>
      <c r="F83" s="37" t="s">
        <v>675</v>
      </c>
      <c r="G83" s="37" t="s">
        <v>589</v>
      </c>
      <c r="H83" s="38">
        <v>1200</v>
      </c>
      <c r="I83" s="37" t="s">
        <v>20</v>
      </c>
      <c r="J83" s="37" t="s">
        <v>415</v>
      </c>
      <c r="K83" s="39">
        <v>45292</v>
      </c>
      <c r="L83" s="37" t="s">
        <v>20</v>
      </c>
      <c r="M83" s="37" t="s">
        <v>585</v>
      </c>
    </row>
    <row r="84" spans="1:13" ht="90">
      <c r="A84" s="37">
        <v>102</v>
      </c>
      <c r="B84" s="37" t="s">
        <v>677</v>
      </c>
      <c r="C84" s="37" t="s">
        <v>172</v>
      </c>
      <c r="D84" s="37"/>
      <c r="E84" s="37">
        <v>15</v>
      </c>
      <c r="F84" s="37" t="s">
        <v>594</v>
      </c>
      <c r="G84" s="37" t="s">
        <v>589</v>
      </c>
      <c r="H84" s="38">
        <v>300</v>
      </c>
      <c r="I84" s="37" t="s">
        <v>20</v>
      </c>
      <c r="J84" s="37" t="s">
        <v>415</v>
      </c>
      <c r="K84" s="39">
        <v>45292</v>
      </c>
      <c r="L84" s="37" t="s">
        <v>20</v>
      </c>
      <c r="M84" s="37" t="s">
        <v>585</v>
      </c>
    </row>
    <row r="85" spans="1:13" ht="90">
      <c r="A85" s="37">
        <v>103</v>
      </c>
      <c r="B85" s="37" t="s">
        <v>678</v>
      </c>
      <c r="C85" s="37" t="s">
        <v>34</v>
      </c>
      <c r="D85" s="37"/>
      <c r="E85" s="37">
        <v>17</v>
      </c>
      <c r="F85" s="37" t="s">
        <v>679</v>
      </c>
      <c r="G85" s="37" t="s">
        <v>589</v>
      </c>
      <c r="H85" s="38">
        <v>3196</v>
      </c>
      <c r="I85" s="37" t="s">
        <v>20</v>
      </c>
      <c r="J85" s="37" t="s">
        <v>415</v>
      </c>
      <c r="K85" s="39">
        <v>45292</v>
      </c>
      <c r="L85" s="37" t="s">
        <v>20</v>
      </c>
      <c r="M85" s="37" t="s">
        <v>585</v>
      </c>
    </row>
    <row r="86" spans="1:13" ht="90">
      <c r="A86" s="37">
        <v>104</v>
      </c>
      <c r="B86" s="37" t="s">
        <v>680</v>
      </c>
      <c r="C86" s="37" t="s">
        <v>34</v>
      </c>
      <c r="D86" s="37"/>
      <c r="E86" s="37">
        <v>10000</v>
      </c>
      <c r="F86" s="37" t="s">
        <v>681</v>
      </c>
      <c r="G86" s="37" t="s">
        <v>589</v>
      </c>
      <c r="H86" s="38">
        <v>3000</v>
      </c>
      <c r="I86" s="37" t="s">
        <v>20</v>
      </c>
      <c r="J86" s="37" t="s">
        <v>415</v>
      </c>
      <c r="K86" s="39">
        <v>45292</v>
      </c>
      <c r="L86" s="37" t="s">
        <v>20</v>
      </c>
      <c r="M86" s="37" t="s">
        <v>585</v>
      </c>
    </row>
    <row r="87" spans="1:13" ht="90">
      <c r="A87" s="37">
        <v>105</v>
      </c>
      <c r="B87" s="37" t="s">
        <v>682</v>
      </c>
      <c r="C87" s="37" t="s">
        <v>34</v>
      </c>
      <c r="D87" s="37"/>
      <c r="E87" s="37">
        <v>10000</v>
      </c>
      <c r="F87" s="37" t="s">
        <v>679</v>
      </c>
      <c r="G87" s="37" t="s">
        <v>589</v>
      </c>
      <c r="H87" s="38">
        <v>3000</v>
      </c>
      <c r="I87" s="37" t="s">
        <v>20</v>
      </c>
      <c r="J87" s="37" t="s">
        <v>415</v>
      </c>
      <c r="K87" s="39">
        <v>45292</v>
      </c>
      <c r="L87" s="37" t="s">
        <v>20</v>
      </c>
      <c r="M87" s="37" t="s">
        <v>585</v>
      </c>
    </row>
    <row r="88" spans="1:13" ht="90">
      <c r="A88" s="37">
        <v>106</v>
      </c>
      <c r="B88" s="37" t="s">
        <v>683</v>
      </c>
      <c r="C88" s="37" t="s">
        <v>172</v>
      </c>
      <c r="D88" s="37"/>
      <c r="E88" s="37">
        <v>10000</v>
      </c>
      <c r="F88" s="37" t="s">
        <v>679</v>
      </c>
      <c r="G88" s="37" t="s">
        <v>589</v>
      </c>
      <c r="H88" s="38">
        <v>2400</v>
      </c>
      <c r="I88" s="37" t="s">
        <v>20</v>
      </c>
      <c r="J88" s="37" t="s">
        <v>415</v>
      </c>
      <c r="K88" s="39">
        <v>45292</v>
      </c>
      <c r="L88" s="37" t="s">
        <v>20</v>
      </c>
      <c r="M88" s="37" t="s">
        <v>585</v>
      </c>
    </row>
    <row r="89" spans="1:13" ht="90">
      <c r="A89" s="37">
        <v>107</v>
      </c>
      <c r="B89" s="37" t="s">
        <v>684</v>
      </c>
      <c r="C89" s="37" t="s">
        <v>172</v>
      </c>
      <c r="D89" s="37"/>
      <c r="E89" s="37">
        <v>10000</v>
      </c>
      <c r="F89" s="37" t="s">
        <v>679</v>
      </c>
      <c r="G89" s="37" t="s">
        <v>589</v>
      </c>
      <c r="H89" s="38">
        <v>2400</v>
      </c>
      <c r="I89" s="37" t="s">
        <v>20</v>
      </c>
      <c r="J89" s="37" t="s">
        <v>415</v>
      </c>
      <c r="K89" s="39">
        <v>45292</v>
      </c>
      <c r="L89" s="37" t="s">
        <v>20</v>
      </c>
      <c r="M89" s="37" t="s">
        <v>585</v>
      </c>
    </row>
    <row r="90" spans="1:13" ht="90">
      <c r="A90" s="37">
        <v>108</v>
      </c>
      <c r="B90" s="37" t="s">
        <v>685</v>
      </c>
      <c r="C90" s="37" t="s">
        <v>172</v>
      </c>
      <c r="D90" s="37"/>
      <c r="E90" s="37">
        <v>30</v>
      </c>
      <c r="F90" s="37" t="s">
        <v>679</v>
      </c>
      <c r="G90" s="37" t="s">
        <v>589</v>
      </c>
      <c r="H90" s="38">
        <v>3000</v>
      </c>
      <c r="I90" s="37" t="s">
        <v>20</v>
      </c>
      <c r="J90" s="37" t="s">
        <v>415</v>
      </c>
      <c r="K90" s="39">
        <v>45292</v>
      </c>
      <c r="L90" s="37" t="s">
        <v>20</v>
      </c>
      <c r="M90" s="37" t="s">
        <v>585</v>
      </c>
    </row>
    <row r="91" spans="1:13" ht="90">
      <c r="A91" s="37">
        <v>109</v>
      </c>
      <c r="B91" s="37" t="s">
        <v>686</v>
      </c>
      <c r="C91" s="37" t="s">
        <v>34</v>
      </c>
      <c r="D91" s="37"/>
      <c r="E91" s="37">
        <v>30</v>
      </c>
      <c r="F91" s="37" t="s">
        <v>679</v>
      </c>
      <c r="G91" s="37" t="s">
        <v>589</v>
      </c>
      <c r="H91" s="38">
        <v>3000</v>
      </c>
      <c r="I91" s="37" t="s">
        <v>20</v>
      </c>
      <c r="J91" s="37" t="s">
        <v>415</v>
      </c>
      <c r="K91" s="39">
        <v>45292</v>
      </c>
      <c r="L91" s="37" t="s">
        <v>20</v>
      </c>
      <c r="M91" s="37" t="s">
        <v>585</v>
      </c>
    </row>
    <row r="92" spans="1:13" ht="90">
      <c r="A92" s="37">
        <v>110</v>
      </c>
      <c r="B92" s="37" t="s">
        <v>687</v>
      </c>
      <c r="C92" s="37" t="s">
        <v>172</v>
      </c>
      <c r="D92" s="37"/>
      <c r="E92" s="37">
        <v>100</v>
      </c>
      <c r="F92" s="37" t="s">
        <v>679</v>
      </c>
      <c r="G92" s="37" t="s">
        <v>589</v>
      </c>
      <c r="H92" s="38">
        <v>3000</v>
      </c>
      <c r="I92" s="37" t="s">
        <v>20</v>
      </c>
      <c r="J92" s="37" t="s">
        <v>415</v>
      </c>
      <c r="K92" s="39">
        <v>45292</v>
      </c>
      <c r="L92" s="37" t="s">
        <v>20</v>
      </c>
      <c r="M92" s="37" t="s">
        <v>585</v>
      </c>
    </row>
    <row r="93" spans="1:13" ht="90">
      <c r="A93" s="37">
        <v>111</v>
      </c>
      <c r="B93" s="37" t="s">
        <v>688</v>
      </c>
      <c r="C93" s="37" t="s">
        <v>172</v>
      </c>
      <c r="D93" s="37"/>
      <c r="E93" s="37">
        <v>30</v>
      </c>
      <c r="F93" s="37" t="s">
        <v>594</v>
      </c>
      <c r="G93" s="37" t="s">
        <v>589</v>
      </c>
      <c r="H93" s="38">
        <v>1200</v>
      </c>
      <c r="I93" s="37" t="s">
        <v>20</v>
      </c>
      <c r="J93" s="37" t="s">
        <v>415</v>
      </c>
      <c r="K93" s="39">
        <v>45292</v>
      </c>
      <c r="L93" s="37" t="s">
        <v>20</v>
      </c>
      <c r="M93" s="37" t="s">
        <v>585</v>
      </c>
    </row>
    <row r="94" spans="1:13" ht="90">
      <c r="A94" s="37">
        <v>112</v>
      </c>
      <c r="B94" s="37" t="s">
        <v>689</v>
      </c>
      <c r="C94" s="37" t="s">
        <v>34</v>
      </c>
      <c r="D94" s="37"/>
      <c r="E94" s="37">
        <v>10</v>
      </c>
      <c r="F94" s="37" t="s">
        <v>594</v>
      </c>
      <c r="G94" s="37" t="s">
        <v>589</v>
      </c>
      <c r="H94" s="38">
        <v>300</v>
      </c>
      <c r="I94" s="37" t="s">
        <v>20</v>
      </c>
      <c r="J94" s="37" t="s">
        <v>415</v>
      </c>
      <c r="K94" s="39">
        <v>45292</v>
      </c>
      <c r="L94" s="37" t="s">
        <v>20</v>
      </c>
      <c r="M94" s="37" t="s">
        <v>585</v>
      </c>
    </row>
    <row r="95" spans="1:13" ht="90">
      <c r="A95" s="37">
        <v>113</v>
      </c>
      <c r="B95" s="37" t="s">
        <v>690</v>
      </c>
      <c r="C95" s="37" t="s">
        <v>34</v>
      </c>
      <c r="D95" s="37"/>
      <c r="E95" s="37">
        <v>10</v>
      </c>
      <c r="F95" s="37" t="s">
        <v>594</v>
      </c>
      <c r="G95" s="37" t="s">
        <v>589</v>
      </c>
      <c r="H95" s="38">
        <v>300</v>
      </c>
      <c r="I95" s="37" t="s">
        <v>20</v>
      </c>
      <c r="J95" s="37" t="s">
        <v>415</v>
      </c>
      <c r="K95" s="39">
        <v>45292</v>
      </c>
      <c r="L95" s="37" t="s">
        <v>20</v>
      </c>
      <c r="M95" s="37" t="s">
        <v>585</v>
      </c>
    </row>
    <row r="96" spans="1:13" ht="90">
      <c r="A96" s="37">
        <v>114</v>
      </c>
      <c r="B96" s="37" t="s">
        <v>691</v>
      </c>
      <c r="C96" s="37" t="s">
        <v>34</v>
      </c>
      <c r="D96" s="37"/>
      <c r="E96" s="37">
        <v>10</v>
      </c>
      <c r="F96" s="37" t="s">
        <v>594</v>
      </c>
      <c r="G96" s="37" t="s">
        <v>589</v>
      </c>
      <c r="H96" s="38">
        <v>300</v>
      </c>
      <c r="I96" s="37" t="s">
        <v>20</v>
      </c>
      <c r="J96" s="37" t="s">
        <v>415</v>
      </c>
      <c r="K96" s="39">
        <v>45292</v>
      </c>
      <c r="L96" s="37" t="s">
        <v>20</v>
      </c>
      <c r="M96" s="37" t="s">
        <v>585</v>
      </c>
    </row>
    <row r="97" spans="1:13" ht="90">
      <c r="A97" s="37">
        <v>115</v>
      </c>
      <c r="B97" s="37" t="s">
        <v>692</v>
      </c>
      <c r="C97" s="37" t="s">
        <v>34</v>
      </c>
      <c r="D97" s="37"/>
      <c r="E97" s="37">
        <v>10</v>
      </c>
      <c r="F97" s="37" t="s">
        <v>594</v>
      </c>
      <c r="G97" s="37" t="s">
        <v>589</v>
      </c>
      <c r="H97" s="38">
        <v>300</v>
      </c>
      <c r="I97" s="37" t="s">
        <v>20</v>
      </c>
      <c r="J97" s="37" t="s">
        <v>415</v>
      </c>
      <c r="K97" s="39">
        <v>45292</v>
      </c>
      <c r="L97" s="37" t="s">
        <v>20</v>
      </c>
      <c r="M97" s="37" t="s">
        <v>585</v>
      </c>
    </row>
    <row r="98" spans="1:13" ht="90">
      <c r="A98" s="37">
        <v>116</v>
      </c>
      <c r="B98" s="37" t="s">
        <v>693</v>
      </c>
      <c r="C98" s="37" t="s">
        <v>34</v>
      </c>
      <c r="D98" s="37"/>
      <c r="E98" s="37">
        <v>10</v>
      </c>
      <c r="F98" s="37" t="s">
        <v>594</v>
      </c>
      <c r="G98" s="37" t="s">
        <v>589</v>
      </c>
      <c r="H98" s="38">
        <v>300</v>
      </c>
      <c r="I98" s="37" t="s">
        <v>20</v>
      </c>
      <c r="J98" s="37" t="s">
        <v>415</v>
      </c>
      <c r="K98" s="39">
        <v>45292</v>
      </c>
      <c r="L98" s="37" t="s">
        <v>20</v>
      </c>
      <c r="M98" s="37" t="s">
        <v>585</v>
      </c>
    </row>
    <row r="99" spans="1:13" ht="90">
      <c r="A99" s="37">
        <v>117</v>
      </c>
      <c r="B99" s="37" t="s">
        <v>694</v>
      </c>
      <c r="C99" s="37" t="s">
        <v>34</v>
      </c>
      <c r="D99" s="37"/>
      <c r="E99" s="37">
        <v>10</v>
      </c>
      <c r="F99" s="37" t="s">
        <v>594</v>
      </c>
      <c r="G99" s="37" t="s">
        <v>589</v>
      </c>
      <c r="H99" s="38">
        <v>300</v>
      </c>
      <c r="I99" s="37" t="s">
        <v>20</v>
      </c>
      <c r="J99" s="37" t="s">
        <v>415</v>
      </c>
      <c r="K99" s="39">
        <v>45292</v>
      </c>
      <c r="L99" s="37" t="s">
        <v>20</v>
      </c>
      <c r="M99" s="37" t="s">
        <v>585</v>
      </c>
    </row>
    <row r="100" spans="1:13" ht="90">
      <c r="A100" s="37">
        <v>118</v>
      </c>
      <c r="B100" s="37" t="s">
        <v>695</v>
      </c>
      <c r="C100" s="37" t="s">
        <v>34</v>
      </c>
      <c r="D100" s="37"/>
      <c r="E100" s="37">
        <v>100</v>
      </c>
      <c r="F100" s="37" t="s">
        <v>679</v>
      </c>
      <c r="G100" s="37" t="s">
        <v>589</v>
      </c>
      <c r="H100" s="38">
        <v>1800</v>
      </c>
      <c r="I100" s="37" t="s">
        <v>20</v>
      </c>
      <c r="J100" s="37" t="s">
        <v>415</v>
      </c>
      <c r="K100" s="39">
        <v>45292</v>
      </c>
      <c r="L100" s="37" t="s">
        <v>20</v>
      </c>
      <c r="M100" s="37" t="s">
        <v>585</v>
      </c>
    </row>
    <row r="101" spans="1:13" ht="90">
      <c r="A101" s="37">
        <v>119</v>
      </c>
      <c r="B101" s="37" t="s">
        <v>696</v>
      </c>
      <c r="C101" s="37" t="s">
        <v>34</v>
      </c>
      <c r="D101" s="37"/>
      <c r="E101" s="37">
        <v>100</v>
      </c>
      <c r="F101" s="37" t="s">
        <v>679</v>
      </c>
      <c r="G101" s="37" t="s">
        <v>589</v>
      </c>
      <c r="H101" s="38">
        <v>1800</v>
      </c>
      <c r="I101" s="37" t="s">
        <v>20</v>
      </c>
      <c r="J101" s="37" t="s">
        <v>415</v>
      </c>
      <c r="K101" s="39">
        <v>45292</v>
      </c>
      <c r="L101" s="37" t="s">
        <v>20</v>
      </c>
      <c r="M101" s="37" t="s">
        <v>585</v>
      </c>
    </row>
    <row r="102" spans="1:13" ht="90">
      <c r="A102" s="37">
        <v>120</v>
      </c>
      <c r="B102" s="37" t="s">
        <v>697</v>
      </c>
      <c r="C102" s="37" t="s">
        <v>34</v>
      </c>
      <c r="D102" s="37"/>
      <c r="E102" s="37">
        <v>100</v>
      </c>
      <c r="F102" s="37" t="s">
        <v>679</v>
      </c>
      <c r="G102" s="37" t="s">
        <v>589</v>
      </c>
      <c r="H102" s="38">
        <v>1800</v>
      </c>
      <c r="I102" s="37" t="s">
        <v>20</v>
      </c>
      <c r="J102" s="37" t="s">
        <v>415</v>
      </c>
      <c r="K102" s="39">
        <v>45292</v>
      </c>
      <c r="L102" s="37" t="s">
        <v>20</v>
      </c>
      <c r="M102" s="37" t="s">
        <v>585</v>
      </c>
    </row>
    <row r="103" spans="1:13" ht="90">
      <c r="A103" s="37">
        <v>121</v>
      </c>
      <c r="B103" s="37" t="s">
        <v>698</v>
      </c>
      <c r="C103" s="37" t="s">
        <v>34</v>
      </c>
      <c r="D103" s="37"/>
      <c r="E103" s="37">
        <v>100</v>
      </c>
      <c r="F103" s="37" t="s">
        <v>679</v>
      </c>
      <c r="G103" s="37" t="s">
        <v>589</v>
      </c>
      <c r="H103" s="38">
        <v>1800</v>
      </c>
      <c r="I103" s="37" t="s">
        <v>20</v>
      </c>
      <c r="J103" s="37" t="s">
        <v>415</v>
      </c>
      <c r="K103" s="39">
        <v>45292</v>
      </c>
      <c r="L103" s="37" t="s">
        <v>20</v>
      </c>
      <c r="M103" s="37" t="s">
        <v>585</v>
      </c>
    </row>
    <row r="104" spans="1:13" ht="90">
      <c r="A104" s="37">
        <v>122</v>
      </c>
      <c r="B104" s="37" t="s">
        <v>699</v>
      </c>
      <c r="C104" s="37" t="s">
        <v>34</v>
      </c>
      <c r="D104" s="37"/>
      <c r="E104" s="37">
        <v>100</v>
      </c>
      <c r="F104" s="37" t="s">
        <v>679</v>
      </c>
      <c r="G104" s="37" t="s">
        <v>589</v>
      </c>
      <c r="H104" s="38">
        <v>3000</v>
      </c>
      <c r="I104" s="37" t="s">
        <v>20</v>
      </c>
      <c r="J104" s="37" t="s">
        <v>415</v>
      </c>
      <c r="K104" s="39">
        <v>45292</v>
      </c>
      <c r="L104" s="37" t="s">
        <v>20</v>
      </c>
      <c r="M104" s="37" t="s">
        <v>585</v>
      </c>
    </row>
    <row r="105" spans="1:13" ht="90">
      <c r="A105" s="37">
        <v>123</v>
      </c>
      <c r="B105" s="37" t="s">
        <v>700</v>
      </c>
      <c r="C105" s="37" t="s">
        <v>34</v>
      </c>
      <c r="D105" s="37"/>
      <c r="E105" s="37">
        <v>1</v>
      </c>
      <c r="F105" s="37" t="s">
        <v>679</v>
      </c>
      <c r="G105" s="37" t="s">
        <v>589</v>
      </c>
      <c r="H105" s="38">
        <v>100</v>
      </c>
      <c r="I105" s="37" t="s">
        <v>20</v>
      </c>
      <c r="J105" s="37" t="s">
        <v>415</v>
      </c>
      <c r="K105" s="39">
        <v>45292</v>
      </c>
      <c r="L105" s="37" t="s">
        <v>20</v>
      </c>
      <c r="M105" s="37" t="s">
        <v>585</v>
      </c>
    </row>
    <row r="106" spans="1:13" ht="90">
      <c r="A106" s="37">
        <v>124</v>
      </c>
      <c r="B106" s="37" t="s">
        <v>701</v>
      </c>
      <c r="C106" s="37" t="s">
        <v>34</v>
      </c>
      <c r="D106" s="37"/>
      <c r="E106" s="37">
        <v>15</v>
      </c>
      <c r="F106" s="37" t="s">
        <v>679</v>
      </c>
      <c r="G106" s="37" t="s">
        <v>589</v>
      </c>
      <c r="H106" s="38">
        <v>150</v>
      </c>
      <c r="I106" s="37" t="s">
        <v>20</v>
      </c>
      <c r="J106" s="37" t="s">
        <v>415</v>
      </c>
      <c r="K106" s="39">
        <v>45292</v>
      </c>
      <c r="L106" s="37" t="s">
        <v>20</v>
      </c>
      <c r="M106" s="37" t="s">
        <v>585</v>
      </c>
    </row>
    <row r="107" spans="1:13" ht="90">
      <c r="A107" s="37">
        <v>125</v>
      </c>
      <c r="B107" s="37" t="s">
        <v>702</v>
      </c>
      <c r="C107" s="37" t="s">
        <v>34</v>
      </c>
      <c r="D107" s="37"/>
      <c r="E107" s="37">
        <v>50</v>
      </c>
      <c r="F107" s="37" t="s">
        <v>594</v>
      </c>
      <c r="G107" s="37" t="s">
        <v>589</v>
      </c>
      <c r="H107" s="38">
        <v>2500</v>
      </c>
      <c r="I107" s="37" t="s">
        <v>20</v>
      </c>
      <c r="J107" s="37" t="s">
        <v>415</v>
      </c>
      <c r="K107" s="39">
        <v>45292</v>
      </c>
      <c r="L107" s="37" t="s">
        <v>20</v>
      </c>
      <c r="M107" s="37" t="s">
        <v>585</v>
      </c>
    </row>
    <row r="108" spans="1:13" ht="90">
      <c r="A108" s="37">
        <v>126</v>
      </c>
      <c r="B108" s="37" t="s">
        <v>703</v>
      </c>
      <c r="C108" s="37" t="s">
        <v>34</v>
      </c>
      <c r="D108" s="37"/>
      <c r="E108" s="37">
        <v>50</v>
      </c>
      <c r="F108" s="37" t="s">
        <v>594</v>
      </c>
      <c r="G108" s="37" t="s">
        <v>589</v>
      </c>
      <c r="H108" s="38">
        <v>2500</v>
      </c>
      <c r="I108" s="37" t="s">
        <v>20</v>
      </c>
      <c r="J108" s="37" t="s">
        <v>415</v>
      </c>
      <c r="K108" s="39">
        <v>45292</v>
      </c>
      <c r="L108" s="37" t="s">
        <v>20</v>
      </c>
      <c r="M108" s="37" t="s">
        <v>585</v>
      </c>
    </row>
    <row r="109" spans="1:13" ht="90">
      <c r="A109" s="37">
        <v>127</v>
      </c>
      <c r="B109" s="37" t="s">
        <v>704</v>
      </c>
      <c r="C109" s="37" t="s">
        <v>34</v>
      </c>
      <c r="D109" s="37"/>
      <c r="E109" s="37">
        <v>50</v>
      </c>
      <c r="F109" s="37" t="s">
        <v>679</v>
      </c>
      <c r="G109" s="37" t="s">
        <v>589</v>
      </c>
      <c r="H109" s="38">
        <v>1000</v>
      </c>
      <c r="I109" s="37" t="s">
        <v>20</v>
      </c>
      <c r="J109" s="37" t="s">
        <v>415</v>
      </c>
      <c r="K109" s="39">
        <v>45292</v>
      </c>
      <c r="L109" s="37" t="s">
        <v>20</v>
      </c>
      <c r="M109" s="37" t="s">
        <v>585</v>
      </c>
    </row>
    <row r="110" spans="1:13" ht="90">
      <c r="A110" s="37">
        <v>128</v>
      </c>
      <c r="B110" s="37" t="s">
        <v>705</v>
      </c>
      <c r="C110" s="37" t="s">
        <v>34</v>
      </c>
      <c r="D110" s="37"/>
      <c r="E110" s="37">
        <v>50</v>
      </c>
      <c r="F110" s="37" t="s">
        <v>681</v>
      </c>
      <c r="G110" s="37" t="s">
        <v>589</v>
      </c>
      <c r="H110" s="38">
        <v>1000</v>
      </c>
      <c r="I110" s="37" t="s">
        <v>20</v>
      </c>
      <c r="J110" s="37" t="s">
        <v>415</v>
      </c>
      <c r="K110" s="39">
        <v>45292</v>
      </c>
      <c r="L110" s="37" t="s">
        <v>20</v>
      </c>
      <c r="M110" s="37" t="s">
        <v>585</v>
      </c>
    </row>
    <row r="111" spans="1:13" ht="90">
      <c r="A111" s="37">
        <v>129</v>
      </c>
      <c r="B111" s="37" t="s">
        <v>706</v>
      </c>
      <c r="C111" s="37" t="s">
        <v>34</v>
      </c>
      <c r="D111" s="37"/>
      <c r="E111" s="37">
        <v>50</v>
      </c>
      <c r="F111" s="37" t="s">
        <v>681</v>
      </c>
      <c r="G111" s="37" t="s">
        <v>589</v>
      </c>
      <c r="H111" s="38">
        <v>1000</v>
      </c>
      <c r="I111" s="37" t="s">
        <v>20</v>
      </c>
      <c r="J111" s="37" t="s">
        <v>415</v>
      </c>
      <c r="K111" s="39">
        <v>45292</v>
      </c>
      <c r="L111" s="37" t="s">
        <v>20</v>
      </c>
      <c r="M111" s="37" t="s">
        <v>585</v>
      </c>
    </row>
    <row r="112" spans="1:13" ht="90">
      <c r="A112" s="37">
        <v>130</v>
      </c>
      <c r="B112" s="37" t="s">
        <v>707</v>
      </c>
      <c r="C112" s="37" t="s">
        <v>34</v>
      </c>
      <c r="D112" s="37"/>
      <c r="E112" s="37">
        <v>1000</v>
      </c>
      <c r="F112" s="37" t="s">
        <v>681</v>
      </c>
      <c r="G112" s="37" t="s">
        <v>589</v>
      </c>
      <c r="H112" s="41">
        <v>2500</v>
      </c>
      <c r="I112" s="37" t="s">
        <v>20</v>
      </c>
      <c r="J112" s="37" t="s">
        <v>415</v>
      </c>
      <c r="K112" s="39">
        <v>45292</v>
      </c>
      <c r="L112" s="37" t="s">
        <v>20</v>
      </c>
      <c r="M112" s="37" t="s">
        <v>585</v>
      </c>
    </row>
    <row r="113" spans="1:13" ht="90">
      <c r="A113" s="37">
        <v>131</v>
      </c>
      <c r="B113" s="37" t="s">
        <v>708</v>
      </c>
      <c r="C113" s="37" t="s">
        <v>34</v>
      </c>
      <c r="D113" s="37"/>
      <c r="E113" s="37">
        <v>10</v>
      </c>
      <c r="F113" s="37" t="s">
        <v>594</v>
      </c>
      <c r="G113" s="37" t="s">
        <v>589</v>
      </c>
      <c r="H113" s="38">
        <v>500</v>
      </c>
      <c r="I113" s="37" t="s">
        <v>20</v>
      </c>
      <c r="J113" s="37" t="s">
        <v>415</v>
      </c>
      <c r="K113" s="39">
        <v>45292</v>
      </c>
      <c r="L113" s="37" t="s">
        <v>20</v>
      </c>
      <c r="M113" s="37" t="s">
        <v>585</v>
      </c>
    </row>
    <row r="114" spans="1:13" ht="90">
      <c r="A114" s="37">
        <v>133</v>
      </c>
      <c r="B114" s="37" t="s">
        <v>709</v>
      </c>
      <c r="C114" s="37" t="s">
        <v>34</v>
      </c>
      <c r="D114" s="37"/>
      <c r="E114" s="37">
        <v>10</v>
      </c>
      <c r="F114" s="37" t="s">
        <v>594</v>
      </c>
      <c r="G114" s="37" t="s">
        <v>589</v>
      </c>
      <c r="H114" s="38">
        <v>250</v>
      </c>
      <c r="I114" s="37" t="s">
        <v>20</v>
      </c>
      <c r="J114" s="37" t="s">
        <v>415</v>
      </c>
      <c r="K114" s="39">
        <v>45292</v>
      </c>
      <c r="L114" s="37" t="s">
        <v>20</v>
      </c>
      <c r="M114" s="37" t="s">
        <v>585</v>
      </c>
    </row>
    <row r="115" spans="1:13" ht="90">
      <c r="A115" s="37">
        <v>134</v>
      </c>
      <c r="B115" s="37" t="s">
        <v>710</v>
      </c>
      <c r="C115" s="37" t="s">
        <v>34</v>
      </c>
      <c r="D115" s="37"/>
      <c r="E115" s="37">
        <v>10</v>
      </c>
      <c r="F115" s="37" t="s">
        <v>594</v>
      </c>
      <c r="G115" s="37" t="s">
        <v>589</v>
      </c>
      <c r="H115" s="38">
        <v>250</v>
      </c>
      <c r="I115" s="37" t="s">
        <v>20</v>
      </c>
      <c r="J115" s="37" t="s">
        <v>415</v>
      </c>
      <c r="K115" s="39">
        <v>45292</v>
      </c>
      <c r="L115" s="37" t="s">
        <v>20</v>
      </c>
      <c r="M115" s="37" t="s">
        <v>585</v>
      </c>
    </row>
    <row r="116" spans="1:13" ht="90">
      <c r="A116" s="37">
        <v>137</v>
      </c>
      <c r="B116" s="37" t="s">
        <v>711</v>
      </c>
      <c r="C116" s="37" t="s">
        <v>34</v>
      </c>
      <c r="D116" s="37"/>
      <c r="E116" s="37">
        <v>20</v>
      </c>
      <c r="F116" s="37" t="s">
        <v>594</v>
      </c>
      <c r="G116" s="37" t="s">
        <v>589</v>
      </c>
      <c r="H116" s="38">
        <v>100</v>
      </c>
      <c r="I116" s="37" t="s">
        <v>20</v>
      </c>
      <c r="J116" s="37" t="s">
        <v>415</v>
      </c>
      <c r="K116" s="39">
        <v>45292</v>
      </c>
      <c r="L116" s="37" t="s">
        <v>20</v>
      </c>
      <c r="M116" s="37" t="s">
        <v>585</v>
      </c>
    </row>
    <row r="117" spans="1:13" ht="90">
      <c r="A117" s="37">
        <v>138</v>
      </c>
      <c r="B117" s="37" t="s">
        <v>712</v>
      </c>
      <c r="C117" s="37" t="s">
        <v>34</v>
      </c>
      <c r="D117" s="37"/>
      <c r="E117" s="37">
        <v>20</v>
      </c>
      <c r="F117" s="37" t="s">
        <v>594</v>
      </c>
      <c r="G117" s="37" t="s">
        <v>589</v>
      </c>
      <c r="H117" s="38">
        <v>400</v>
      </c>
      <c r="I117" s="37" t="s">
        <v>20</v>
      </c>
      <c r="J117" s="37" t="s">
        <v>415</v>
      </c>
      <c r="K117" s="39">
        <v>45292</v>
      </c>
      <c r="L117" s="37" t="s">
        <v>20</v>
      </c>
      <c r="M117" s="37" t="s">
        <v>585</v>
      </c>
    </row>
    <row r="118" spans="1:13" ht="90">
      <c r="A118" s="37">
        <v>139</v>
      </c>
      <c r="B118" s="37" t="s">
        <v>713</v>
      </c>
      <c r="C118" s="37" t="s">
        <v>34</v>
      </c>
      <c r="D118" s="37"/>
      <c r="E118" s="37">
        <v>500</v>
      </c>
      <c r="F118" s="37" t="s">
        <v>594</v>
      </c>
      <c r="G118" s="37" t="s">
        <v>589</v>
      </c>
      <c r="H118" s="38">
        <v>1000</v>
      </c>
      <c r="I118" s="37" t="s">
        <v>20</v>
      </c>
      <c r="J118" s="37" t="s">
        <v>415</v>
      </c>
      <c r="K118" s="39">
        <v>45292</v>
      </c>
      <c r="L118" s="37" t="s">
        <v>20</v>
      </c>
      <c r="M118" s="37" t="s">
        <v>585</v>
      </c>
    </row>
    <row r="119" spans="1:13" ht="90">
      <c r="A119" s="37">
        <v>140</v>
      </c>
      <c r="B119" s="37" t="s">
        <v>714</v>
      </c>
      <c r="C119" s="37" t="s">
        <v>34</v>
      </c>
      <c r="D119" s="37"/>
      <c r="E119" s="37">
        <v>1000</v>
      </c>
      <c r="F119" s="37" t="s">
        <v>594</v>
      </c>
      <c r="G119" s="37" t="s">
        <v>589</v>
      </c>
      <c r="H119" s="38">
        <v>2000</v>
      </c>
      <c r="I119" s="37" t="s">
        <v>20</v>
      </c>
      <c r="J119" s="37" t="s">
        <v>415</v>
      </c>
      <c r="K119" s="39">
        <v>45292</v>
      </c>
      <c r="L119" s="37" t="s">
        <v>20</v>
      </c>
      <c r="M119" s="37" t="s">
        <v>585</v>
      </c>
    </row>
    <row r="120" spans="1:13" ht="90">
      <c r="A120" s="37">
        <v>141</v>
      </c>
      <c r="B120" s="37" t="s">
        <v>715</v>
      </c>
      <c r="C120" s="37" t="s">
        <v>34</v>
      </c>
      <c r="D120" s="37"/>
      <c r="E120" s="37">
        <v>1000</v>
      </c>
      <c r="F120" s="37" t="s">
        <v>594</v>
      </c>
      <c r="G120" s="37" t="s">
        <v>589</v>
      </c>
      <c r="H120" s="38">
        <v>2000</v>
      </c>
      <c r="I120" s="37" t="s">
        <v>20</v>
      </c>
      <c r="J120" s="37" t="s">
        <v>415</v>
      </c>
      <c r="K120" s="39">
        <v>45292</v>
      </c>
      <c r="L120" s="37" t="s">
        <v>20</v>
      </c>
      <c r="M120" s="37" t="s">
        <v>585</v>
      </c>
    </row>
    <row r="121" spans="1:13" ht="90">
      <c r="A121" s="37">
        <v>142</v>
      </c>
      <c r="B121" s="37" t="s">
        <v>716</v>
      </c>
      <c r="C121" s="37" t="s">
        <v>34</v>
      </c>
      <c r="D121" s="37"/>
      <c r="E121" s="37">
        <v>1000</v>
      </c>
      <c r="F121" s="37" t="s">
        <v>594</v>
      </c>
      <c r="G121" s="37" t="s">
        <v>589</v>
      </c>
      <c r="H121" s="38">
        <v>2000</v>
      </c>
      <c r="I121" s="37" t="s">
        <v>20</v>
      </c>
      <c r="J121" s="37" t="s">
        <v>415</v>
      </c>
      <c r="K121" s="39">
        <v>45292</v>
      </c>
      <c r="L121" s="37" t="s">
        <v>20</v>
      </c>
      <c r="M121" s="37" t="s">
        <v>585</v>
      </c>
    </row>
    <row r="122" spans="1:13" ht="90">
      <c r="A122" s="37">
        <v>143</v>
      </c>
      <c r="B122" s="37" t="s">
        <v>717</v>
      </c>
      <c r="C122" s="37" t="s">
        <v>34</v>
      </c>
      <c r="D122" s="37"/>
      <c r="E122" s="37">
        <v>1000</v>
      </c>
      <c r="F122" s="37" t="s">
        <v>594</v>
      </c>
      <c r="G122" s="37" t="s">
        <v>589</v>
      </c>
      <c r="H122" s="38">
        <v>2000</v>
      </c>
      <c r="I122" s="37" t="s">
        <v>20</v>
      </c>
      <c r="J122" s="37" t="s">
        <v>415</v>
      </c>
      <c r="K122" s="39">
        <v>45292</v>
      </c>
      <c r="L122" s="37" t="s">
        <v>20</v>
      </c>
      <c r="M122" s="37" t="s">
        <v>585</v>
      </c>
    </row>
    <row r="123" spans="1:13" ht="90">
      <c r="A123" s="37">
        <v>144</v>
      </c>
      <c r="B123" s="37" t="s">
        <v>718</v>
      </c>
      <c r="C123" s="37" t="s">
        <v>34</v>
      </c>
      <c r="D123" s="37"/>
      <c r="E123" s="37">
        <v>1000</v>
      </c>
      <c r="F123" s="37" t="s">
        <v>594</v>
      </c>
      <c r="G123" s="37" t="s">
        <v>589</v>
      </c>
      <c r="H123" s="38">
        <v>2000</v>
      </c>
      <c r="I123" s="37" t="s">
        <v>20</v>
      </c>
      <c r="J123" s="37" t="s">
        <v>415</v>
      </c>
      <c r="K123" s="39">
        <v>45292</v>
      </c>
      <c r="L123" s="37" t="s">
        <v>20</v>
      </c>
      <c r="M123" s="37" t="s">
        <v>585</v>
      </c>
    </row>
    <row r="124" spans="1:13" ht="90">
      <c r="A124" s="37">
        <v>145</v>
      </c>
      <c r="B124" s="37" t="s">
        <v>719</v>
      </c>
      <c r="C124" s="37" t="s">
        <v>34</v>
      </c>
      <c r="D124" s="37"/>
      <c r="E124" s="37">
        <v>500</v>
      </c>
      <c r="F124" s="37" t="s">
        <v>594</v>
      </c>
      <c r="G124" s="37" t="s">
        <v>589</v>
      </c>
      <c r="H124" s="38">
        <v>7500</v>
      </c>
      <c r="I124" s="37" t="s">
        <v>20</v>
      </c>
      <c r="J124" s="37" t="s">
        <v>415</v>
      </c>
      <c r="K124" s="39">
        <v>45292</v>
      </c>
      <c r="L124" s="37" t="s">
        <v>20</v>
      </c>
      <c r="M124" s="37" t="s">
        <v>585</v>
      </c>
    </row>
    <row r="125" spans="1:13" ht="90">
      <c r="A125" s="37">
        <v>146</v>
      </c>
      <c r="B125" s="37" t="s">
        <v>720</v>
      </c>
      <c r="C125" s="37" t="s">
        <v>34</v>
      </c>
      <c r="D125" s="37"/>
      <c r="E125" s="37">
        <v>500</v>
      </c>
      <c r="F125" s="37" t="s">
        <v>594</v>
      </c>
      <c r="G125" s="37" t="s">
        <v>589</v>
      </c>
      <c r="H125" s="38">
        <v>7500</v>
      </c>
      <c r="I125" s="37" t="s">
        <v>20</v>
      </c>
      <c r="J125" s="37" t="s">
        <v>415</v>
      </c>
      <c r="K125" s="39">
        <v>45292</v>
      </c>
      <c r="L125" s="37" t="s">
        <v>20</v>
      </c>
      <c r="M125" s="37" t="s">
        <v>585</v>
      </c>
    </row>
    <row r="126" spans="1:13" ht="90">
      <c r="A126" s="37">
        <v>147</v>
      </c>
      <c r="B126" s="37" t="s">
        <v>721</v>
      </c>
      <c r="C126" s="37" t="s">
        <v>172</v>
      </c>
      <c r="D126" s="37"/>
      <c r="E126" s="37">
        <v>10000</v>
      </c>
      <c r="F126" s="37" t="s">
        <v>594</v>
      </c>
      <c r="G126" s="37" t="s">
        <v>589</v>
      </c>
      <c r="H126" s="38">
        <v>19000</v>
      </c>
      <c r="I126" s="37" t="s">
        <v>20</v>
      </c>
      <c r="J126" s="37" t="s">
        <v>415</v>
      </c>
      <c r="K126" s="39">
        <v>45292</v>
      </c>
      <c r="L126" s="37" t="s">
        <v>20</v>
      </c>
      <c r="M126" s="37" t="s">
        <v>585</v>
      </c>
    </row>
    <row r="127" spans="1:13" ht="90">
      <c r="A127" s="37">
        <v>148</v>
      </c>
      <c r="B127" s="37" t="s">
        <v>722</v>
      </c>
      <c r="C127" s="37" t="s">
        <v>34</v>
      </c>
      <c r="D127" s="37"/>
      <c r="E127" s="37">
        <v>100</v>
      </c>
      <c r="F127" s="37" t="s">
        <v>594</v>
      </c>
      <c r="G127" s="37" t="s">
        <v>589</v>
      </c>
      <c r="H127" s="38">
        <v>2600</v>
      </c>
      <c r="I127" s="37" t="s">
        <v>20</v>
      </c>
      <c r="J127" s="37" t="s">
        <v>415</v>
      </c>
      <c r="K127" s="39">
        <v>45292</v>
      </c>
      <c r="L127" s="37" t="s">
        <v>20</v>
      </c>
      <c r="M127" s="37" t="s">
        <v>585</v>
      </c>
    </row>
    <row r="128" spans="1:13" ht="90">
      <c r="A128" s="37">
        <v>149</v>
      </c>
      <c r="B128" s="37" t="s">
        <v>723</v>
      </c>
      <c r="C128" s="37" t="s">
        <v>34</v>
      </c>
      <c r="D128" s="37"/>
      <c r="E128" s="37">
        <v>1</v>
      </c>
      <c r="F128" s="37" t="s">
        <v>679</v>
      </c>
      <c r="G128" s="37" t="s">
        <v>589</v>
      </c>
      <c r="H128" s="38">
        <v>22</v>
      </c>
      <c r="I128" s="37" t="s">
        <v>20</v>
      </c>
      <c r="J128" s="37" t="s">
        <v>415</v>
      </c>
      <c r="K128" s="39">
        <v>45292</v>
      </c>
      <c r="L128" s="37" t="s">
        <v>20</v>
      </c>
      <c r="M128" s="37" t="s">
        <v>585</v>
      </c>
    </row>
    <row r="129" spans="1:13" ht="90">
      <c r="A129" s="37">
        <v>150</v>
      </c>
      <c r="B129" s="37" t="s">
        <v>724</v>
      </c>
      <c r="C129" s="37" t="s">
        <v>34</v>
      </c>
      <c r="D129" s="37"/>
      <c r="E129" s="37">
        <v>1</v>
      </c>
      <c r="F129" s="37" t="s">
        <v>679</v>
      </c>
      <c r="G129" s="37" t="s">
        <v>589</v>
      </c>
      <c r="H129" s="38">
        <v>20</v>
      </c>
      <c r="I129" s="37" t="s">
        <v>20</v>
      </c>
      <c r="J129" s="37" t="s">
        <v>415</v>
      </c>
      <c r="K129" s="39">
        <v>45292</v>
      </c>
      <c r="L129" s="37" t="s">
        <v>20</v>
      </c>
      <c r="M129" s="37" t="s">
        <v>585</v>
      </c>
    </row>
    <row r="130" spans="1:13" ht="90">
      <c r="A130" s="37">
        <v>151</v>
      </c>
      <c r="B130" s="37" t="s">
        <v>725</v>
      </c>
      <c r="C130" s="37" t="s">
        <v>34</v>
      </c>
      <c r="D130" s="37"/>
      <c r="E130" s="37">
        <v>10</v>
      </c>
      <c r="F130" s="37" t="s">
        <v>679</v>
      </c>
      <c r="G130" s="37" t="s">
        <v>589</v>
      </c>
      <c r="H130" s="38">
        <v>500</v>
      </c>
      <c r="I130" s="37" t="s">
        <v>20</v>
      </c>
      <c r="J130" s="37" t="s">
        <v>415</v>
      </c>
      <c r="K130" s="39">
        <v>45292</v>
      </c>
      <c r="L130" s="37" t="s">
        <v>20</v>
      </c>
      <c r="M130" s="37" t="s">
        <v>585</v>
      </c>
    </row>
    <row r="131" spans="1:13" ht="90">
      <c r="A131" s="37">
        <v>152</v>
      </c>
      <c r="B131" s="37" t="s">
        <v>726</v>
      </c>
      <c r="C131" s="37" t="s">
        <v>34</v>
      </c>
      <c r="D131" s="37"/>
      <c r="E131" s="37">
        <v>10</v>
      </c>
      <c r="F131" s="37" t="s">
        <v>679</v>
      </c>
      <c r="G131" s="37" t="s">
        <v>589</v>
      </c>
      <c r="H131" s="38">
        <v>500</v>
      </c>
      <c r="I131" s="37" t="s">
        <v>20</v>
      </c>
      <c r="J131" s="37" t="s">
        <v>415</v>
      </c>
      <c r="K131" s="39">
        <v>45292</v>
      </c>
      <c r="L131" s="37" t="s">
        <v>20</v>
      </c>
      <c r="M131" s="37" t="s">
        <v>585</v>
      </c>
    </row>
    <row r="132" spans="1:13" ht="90">
      <c r="A132" s="37">
        <v>153</v>
      </c>
      <c r="B132" s="37" t="s">
        <v>727</v>
      </c>
      <c r="C132" s="37" t="s">
        <v>34</v>
      </c>
      <c r="D132" s="37"/>
      <c r="E132" s="37">
        <v>10</v>
      </c>
      <c r="F132" s="37" t="s">
        <v>679</v>
      </c>
      <c r="G132" s="37" t="s">
        <v>589</v>
      </c>
      <c r="H132" s="38">
        <v>500</v>
      </c>
      <c r="I132" s="37" t="s">
        <v>20</v>
      </c>
      <c r="J132" s="37" t="s">
        <v>415</v>
      </c>
      <c r="K132" s="39">
        <v>45292</v>
      </c>
      <c r="L132" s="37" t="s">
        <v>20</v>
      </c>
      <c r="M132" s="37" t="s">
        <v>585</v>
      </c>
    </row>
    <row r="133" spans="1:13" ht="90">
      <c r="A133" s="37">
        <v>154</v>
      </c>
      <c r="B133" s="37" t="s">
        <v>728</v>
      </c>
      <c r="C133" s="37" t="s">
        <v>34</v>
      </c>
      <c r="D133" s="37"/>
      <c r="E133" s="37">
        <v>10</v>
      </c>
      <c r="F133" s="37" t="s">
        <v>679</v>
      </c>
      <c r="G133" s="37" t="s">
        <v>589</v>
      </c>
      <c r="H133" s="38">
        <v>1500</v>
      </c>
      <c r="I133" s="37" t="s">
        <v>20</v>
      </c>
      <c r="J133" s="37" t="s">
        <v>415</v>
      </c>
      <c r="K133" s="39">
        <v>45292</v>
      </c>
      <c r="L133" s="37" t="s">
        <v>20</v>
      </c>
      <c r="M133" s="37" t="s">
        <v>585</v>
      </c>
    </row>
    <row r="134" spans="1:13" ht="90">
      <c r="A134" s="37">
        <v>155</v>
      </c>
      <c r="B134" s="37" t="s">
        <v>729</v>
      </c>
      <c r="C134" s="37" t="s">
        <v>34</v>
      </c>
      <c r="D134" s="37"/>
      <c r="E134" s="37">
        <v>10</v>
      </c>
      <c r="F134" s="37" t="s">
        <v>681</v>
      </c>
      <c r="G134" s="37" t="s">
        <v>589</v>
      </c>
      <c r="H134" s="38">
        <v>1500</v>
      </c>
      <c r="I134" s="37" t="s">
        <v>20</v>
      </c>
      <c r="J134" s="37" t="s">
        <v>415</v>
      </c>
      <c r="K134" s="39">
        <v>45292</v>
      </c>
      <c r="L134" s="37" t="s">
        <v>20</v>
      </c>
      <c r="M134" s="37" t="s">
        <v>585</v>
      </c>
    </row>
    <row r="135" spans="1:13" ht="90">
      <c r="A135" s="37">
        <v>156</v>
      </c>
      <c r="B135" s="37" t="s">
        <v>730</v>
      </c>
      <c r="C135" s="37" t="s">
        <v>34</v>
      </c>
      <c r="D135" s="37"/>
      <c r="E135" s="37">
        <v>10</v>
      </c>
      <c r="F135" s="37" t="s">
        <v>681</v>
      </c>
      <c r="G135" s="37" t="s">
        <v>589</v>
      </c>
      <c r="H135" s="38">
        <v>1500</v>
      </c>
      <c r="I135" s="37" t="s">
        <v>20</v>
      </c>
      <c r="J135" s="37" t="s">
        <v>415</v>
      </c>
      <c r="K135" s="39">
        <v>45292</v>
      </c>
      <c r="L135" s="37" t="s">
        <v>20</v>
      </c>
      <c r="M135" s="37" t="s">
        <v>585</v>
      </c>
    </row>
    <row r="136" spans="1:13" ht="90">
      <c r="A136" s="37">
        <v>157</v>
      </c>
      <c r="B136" s="37" t="s">
        <v>731</v>
      </c>
      <c r="C136" s="37" t="s">
        <v>34</v>
      </c>
      <c r="D136" s="37"/>
      <c r="E136" s="37">
        <v>10</v>
      </c>
      <c r="F136" s="37" t="s">
        <v>681</v>
      </c>
      <c r="G136" s="37" t="s">
        <v>589</v>
      </c>
      <c r="H136" s="38">
        <v>1500</v>
      </c>
      <c r="I136" s="37" t="s">
        <v>20</v>
      </c>
      <c r="J136" s="37" t="s">
        <v>415</v>
      </c>
      <c r="K136" s="39">
        <v>45292</v>
      </c>
      <c r="L136" s="37" t="s">
        <v>20</v>
      </c>
      <c r="M136" s="37" t="s">
        <v>585</v>
      </c>
    </row>
    <row r="137" spans="1:13" ht="90">
      <c r="A137" s="37">
        <v>158</v>
      </c>
      <c r="B137" s="37" t="s">
        <v>732</v>
      </c>
      <c r="C137" s="37" t="s">
        <v>34</v>
      </c>
      <c r="D137" s="37"/>
      <c r="E137" s="37">
        <v>10</v>
      </c>
      <c r="F137" s="37" t="s">
        <v>681</v>
      </c>
      <c r="G137" s="37" t="s">
        <v>589</v>
      </c>
      <c r="H137" s="38">
        <v>1500</v>
      </c>
      <c r="I137" s="37" t="s">
        <v>20</v>
      </c>
      <c r="J137" s="37" t="s">
        <v>415</v>
      </c>
      <c r="K137" s="39">
        <v>45292</v>
      </c>
      <c r="L137" s="37" t="s">
        <v>20</v>
      </c>
      <c r="M137" s="37" t="s">
        <v>585</v>
      </c>
    </row>
    <row r="138" spans="1:13" ht="90">
      <c r="A138" s="37">
        <v>159</v>
      </c>
      <c r="B138" s="37" t="s">
        <v>733</v>
      </c>
      <c r="C138" s="37" t="s">
        <v>34</v>
      </c>
      <c r="D138" s="37"/>
      <c r="E138" s="37">
        <v>10</v>
      </c>
      <c r="F138" s="37" t="s">
        <v>594</v>
      </c>
      <c r="G138" s="37" t="s">
        <v>589</v>
      </c>
      <c r="H138" s="38">
        <v>100</v>
      </c>
      <c r="I138" s="37" t="s">
        <v>20</v>
      </c>
      <c r="J138" s="37" t="s">
        <v>415</v>
      </c>
      <c r="K138" s="39">
        <v>45292</v>
      </c>
      <c r="L138" s="37" t="s">
        <v>20</v>
      </c>
      <c r="M138" s="37" t="s">
        <v>585</v>
      </c>
    </row>
    <row r="139" spans="1:13" ht="90">
      <c r="A139" s="37">
        <v>160</v>
      </c>
      <c r="B139" s="37" t="s">
        <v>734</v>
      </c>
      <c r="C139" s="37" t="s">
        <v>34</v>
      </c>
      <c r="D139" s="37"/>
      <c r="E139" s="37">
        <v>5</v>
      </c>
      <c r="F139" s="37" t="s">
        <v>679</v>
      </c>
      <c r="G139" s="37" t="s">
        <v>589</v>
      </c>
      <c r="H139" s="38">
        <v>350</v>
      </c>
      <c r="I139" s="37" t="s">
        <v>20</v>
      </c>
      <c r="J139" s="37" t="s">
        <v>415</v>
      </c>
      <c r="K139" s="39">
        <v>45292</v>
      </c>
      <c r="L139" s="37" t="s">
        <v>20</v>
      </c>
      <c r="M139" s="37" t="s">
        <v>585</v>
      </c>
    </row>
    <row r="140" spans="1:13" ht="90">
      <c r="A140" s="37">
        <v>162</v>
      </c>
      <c r="B140" s="37" t="s">
        <v>735</v>
      </c>
      <c r="C140" s="37" t="s">
        <v>34</v>
      </c>
      <c r="D140" s="37"/>
      <c r="E140" s="37">
        <v>5</v>
      </c>
      <c r="F140" s="37" t="s">
        <v>679</v>
      </c>
      <c r="G140" s="37" t="s">
        <v>589</v>
      </c>
      <c r="H140" s="38">
        <v>350</v>
      </c>
      <c r="I140" s="37" t="s">
        <v>20</v>
      </c>
      <c r="J140" s="37" t="s">
        <v>415</v>
      </c>
      <c r="K140" s="39">
        <v>45292</v>
      </c>
      <c r="L140" s="37" t="s">
        <v>20</v>
      </c>
      <c r="M140" s="37" t="s">
        <v>585</v>
      </c>
    </row>
    <row r="141" spans="1:13" ht="90">
      <c r="A141" s="37">
        <v>163</v>
      </c>
      <c r="B141" s="37" t="s">
        <v>736</v>
      </c>
      <c r="C141" s="37" t="s">
        <v>34</v>
      </c>
      <c r="D141" s="37"/>
      <c r="E141" s="37">
        <v>5</v>
      </c>
      <c r="F141" s="37" t="s">
        <v>679</v>
      </c>
      <c r="G141" s="37" t="s">
        <v>589</v>
      </c>
      <c r="H141" s="38">
        <v>350</v>
      </c>
      <c r="I141" s="37" t="s">
        <v>20</v>
      </c>
      <c r="J141" s="37" t="s">
        <v>415</v>
      </c>
      <c r="K141" s="39">
        <v>45292</v>
      </c>
      <c r="L141" s="37" t="s">
        <v>20</v>
      </c>
      <c r="M141" s="37" t="s">
        <v>585</v>
      </c>
    </row>
    <row r="142" spans="1:13" ht="90">
      <c r="A142" s="37">
        <v>164</v>
      </c>
      <c r="B142" s="37" t="s">
        <v>737</v>
      </c>
      <c r="C142" s="37" t="s">
        <v>34</v>
      </c>
      <c r="D142" s="37"/>
      <c r="E142" s="37">
        <v>1</v>
      </c>
      <c r="F142" s="37" t="s">
        <v>679</v>
      </c>
      <c r="G142" s="37" t="s">
        <v>589</v>
      </c>
      <c r="H142" s="38">
        <v>70</v>
      </c>
      <c r="I142" s="37" t="s">
        <v>20</v>
      </c>
      <c r="J142" s="37" t="s">
        <v>415</v>
      </c>
      <c r="K142" s="39">
        <v>45292</v>
      </c>
      <c r="L142" s="37" t="s">
        <v>20</v>
      </c>
      <c r="M142" s="37" t="s">
        <v>585</v>
      </c>
    </row>
    <row r="143" spans="1:13" ht="90">
      <c r="A143" s="37">
        <v>165</v>
      </c>
      <c r="B143" s="37" t="s">
        <v>738</v>
      </c>
      <c r="C143" s="37" t="s">
        <v>34</v>
      </c>
      <c r="D143" s="37"/>
      <c r="E143" s="37">
        <v>1</v>
      </c>
      <c r="F143" s="37" t="s">
        <v>679</v>
      </c>
      <c r="G143" s="37" t="s">
        <v>589</v>
      </c>
      <c r="H143" s="38">
        <v>70</v>
      </c>
      <c r="I143" s="37" t="s">
        <v>20</v>
      </c>
      <c r="J143" s="37" t="s">
        <v>415</v>
      </c>
      <c r="K143" s="39">
        <v>45292</v>
      </c>
      <c r="L143" s="37" t="s">
        <v>20</v>
      </c>
      <c r="M143" s="37" t="s">
        <v>585</v>
      </c>
    </row>
    <row r="144" spans="1:13" ht="90">
      <c r="A144" s="37">
        <v>166</v>
      </c>
      <c r="B144" s="37" t="s">
        <v>739</v>
      </c>
      <c r="C144" s="37" t="s">
        <v>34</v>
      </c>
      <c r="D144" s="37"/>
      <c r="E144" s="37">
        <v>1</v>
      </c>
      <c r="F144" s="37" t="s">
        <v>679</v>
      </c>
      <c r="G144" s="37" t="s">
        <v>589</v>
      </c>
      <c r="H144" s="38">
        <v>70</v>
      </c>
      <c r="I144" s="37" t="s">
        <v>20</v>
      </c>
      <c r="J144" s="37" t="s">
        <v>415</v>
      </c>
      <c r="K144" s="39">
        <v>45292</v>
      </c>
      <c r="L144" s="37" t="s">
        <v>20</v>
      </c>
      <c r="M144" s="37" t="s">
        <v>585</v>
      </c>
    </row>
    <row r="145" spans="1:13" ht="90">
      <c r="A145" s="37">
        <v>167</v>
      </c>
      <c r="B145" s="37" t="s">
        <v>740</v>
      </c>
      <c r="C145" s="37" t="s">
        <v>34</v>
      </c>
      <c r="D145" s="37"/>
      <c r="E145" s="37">
        <v>10</v>
      </c>
      <c r="F145" s="37" t="s">
        <v>679</v>
      </c>
      <c r="G145" s="37" t="s">
        <v>589</v>
      </c>
      <c r="H145" s="38">
        <v>600</v>
      </c>
      <c r="I145" s="37" t="s">
        <v>20</v>
      </c>
      <c r="J145" s="37" t="s">
        <v>415</v>
      </c>
      <c r="K145" s="39">
        <v>45292</v>
      </c>
      <c r="L145" s="37" t="s">
        <v>20</v>
      </c>
      <c r="M145" s="37" t="s">
        <v>585</v>
      </c>
    </row>
    <row r="146" spans="1:13" ht="90">
      <c r="A146" s="37">
        <v>168</v>
      </c>
      <c r="B146" s="37" t="s">
        <v>741</v>
      </c>
      <c r="C146" s="37" t="s">
        <v>34</v>
      </c>
      <c r="D146" s="37"/>
      <c r="E146" s="37">
        <v>10</v>
      </c>
      <c r="F146" s="37" t="s">
        <v>594</v>
      </c>
      <c r="G146" s="37" t="s">
        <v>589</v>
      </c>
      <c r="H146" s="41">
        <v>800</v>
      </c>
      <c r="I146" s="37" t="s">
        <v>20</v>
      </c>
      <c r="J146" s="37" t="s">
        <v>415</v>
      </c>
      <c r="K146" s="39">
        <v>45292</v>
      </c>
      <c r="L146" s="37" t="s">
        <v>20</v>
      </c>
      <c r="M146" s="37" t="s">
        <v>585</v>
      </c>
    </row>
    <row r="147" spans="1:13" ht="90">
      <c r="A147" s="37">
        <v>169</v>
      </c>
      <c r="B147" s="37" t="s">
        <v>742</v>
      </c>
      <c r="C147" s="37" t="s">
        <v>34</v>
      </c>
      <c r="D147" s="37"/>
      <c r="E147" s="37">
        <v>10</v>
      </c>
      <c r="F147" s="37" t="s">
        <v>679</v>
      </c>
      <c r="G147" s="37" t="s">
        <v>589</v>
      </c>
      <c r="H147" s="38">
        <v>1000</v>
      </c>
      <c r="I147" s="37" t="s">
        <v>20</v>
      </c>
      <c r="J147" s="37" t="s">
        <v>415</v>
      </c>
      <c r="K147" s="39">
        <v>45292</v>
      </c>
      <c r="L147" s="37" t="s">
        <v>20</v>
      </c>
      <c r="M147" s="37" t="s">
        <v>585</v>
      </c>
    </row>
    <row r="148" spans="1:13" ht="90">
      <c r="A148" s="37">
        <v>170</v>
      </c>
      <c r="B148" s="37" t="s">
        <v>743</v>
      </c>
      <c r="C148" s="37" t="s">
        <v>34</v>
      </c>
      <c r="D148" s="37"/>
      <c r="E148" s="37">
        <v>10</v>
      </c>
      <c r="F148" s="37" t="s">
        <v>679</v>
      </c>
      <c r="G148" s="37" t="s">
        <v>589</v>
      </c>
      <c r="H148" s="38">
        <v>1000</v>
      </c>
      <c r="I148" s="37" t="s">
        <v>20</v>
      </c>
      <c r="J148" s="37" t="s">
        <v>415</v>
      </c>
      <c r="K148" s="39">
        <v>45292</v>
      </c>
      <c r="L148" s="37" t="s">
        <v>20</v>
      </c>
      <c r="M148" s="37" t="s">
        <v>585</v>
      </c>
    </row>
    <row r="149" spans="1:13" ht="90">
      <c r="A149" s="37">
        <v>171</v>
      </c>
      <c r="B149" s="37" t="s">
        <v>744</v>
      </c>
      <c r="C149" s="37" t="s">
        <v>34</v>
      </c>
      <c r="D149" s="37"/>
      <c r="E149" s="37">
        <v>10</v>
      </c>
      <c r="F149" s="37" t="s">
        <v>679</v>
      </c>
      <c r="G149" s="37" t="s">
        <v>589</v>
      </c>
      <c r="H149" s="38">
        <v>1000</v>
      </c>
      <c r="I149" s="37" t="s">
        <v>20</v>
      </c>
      <c r="J149" s="37" t="s">
        <v>415</v>
      </c>
      <c r="K149" s="39">
        <v>45292</v>
      </c>
      <c r="L149" s="37" t="s">
        <v>20</v>
      </c>
      <c r="M149" s="37" t="s">
        <v>585</v>
      </c>
    </row>
    <row r="150" spans="1:13" ht="90">
      <c r="A150" s="37">
        <v>172</v>
      </c>
      <c r="B150" s="37" t="s">
        <v>745</v>
      </c>
      <c r="C150" s="37" t="s">
        <v>34</v>
      </c>
      <c r="D150" s="37"/>
      <c r="E150" s="37">
        <v>5</v>
      </c>
      <c r="F150" s="37" t="s">
        <v>679</v>
      </c>
      <c r="G150" s="37" t="s">
        <v>589</v>
      </c>
      <c r="H150" s="38">
        <v>2500</v>
      </c>
      <c r="I150" s="37" t="s">
        <v>20</v>
      </c>
      <c r="J150" s="37" t="s">
        <v>415</v>
      </c>
      <c r="K150" s="39">
        <v>45292</v>
      </c>
      <c r="L150" s="37" t="s">
        <v>20</v>
      </c>
      <c r="M150" s="37" t="s">
        <v>585</v>
      </c>
    </row>
    <row r="151" spans="1:13" ht="90">
      <c r="A151" s="37">
        <v>173</v>
      </c>
      <c r="B151" s="37" t="s">
        <v>746</v>
      </c>
      <c r="C151" s="37" t="s">
        <v>34</v>
      </c>
      <c r="D151" s="37"/>
      <c r="E151" s="37">
        <v>5</v>
      </c>
      <c r="F151" s="37" t="s">
        <v>679</v>
      </c>
      <c r="G151" s="37" t="s">
        <v>589</v>
      </c>
      <c r="H151" s="38">
        <v>2500</v>
      </c>
      <c r="I151" s="37" t="s">
        <v>20</v>
      </c>
      <c r="J151" s="37" t="s">
        <v>415</v>
      </c>
      <c r="K151" s="39">
        <v>45292</v>
      </c>
      <c r="L151" s="37" t="s">
        <v>20</v>
      </c>
      <c r="M151" s="37" t="s">
        <v>585</v>
      </c>
    </row>
    <row r="152" spans="1:13" ht="90">
      <c r="A152" s="37">
        <v>174</v>
      </c>
      <c r="B152" s="37" t="s">
        <v>747</v>
      </c>
      <c r="C152" s="37" t="s">
        <v>34</v>
      </c>
      <c r="D152" s="37"/>
      <c r="E152" s="37">
        <v>100</v>
      </c>
      <c r="F152" s="37" t="s">
        <v>594</v>
      </c>
      <c r="G152" s="37" t="s">
        <v>589</v>
      </c>
      <c r="H152" s="38">
        <v>1000</v>
      </c>
      <c r="I152" s="37" t="s">
        <v>20</v>
      </c>
      <c r="J152" s="37" t="s">
        <v>415</v>
      </c>
      <c r="K152" s="39">
        <v>45292</v>
      </c>
      <c r="L152" s="37" t="s">
        <v>20</v>
      </c>
      <c r="M152" s="37" t="s">
        <v>585</v>
      </c>
    </row>
    <row r="153" spans="1:13" ht="90">
      <c r="A153" s="37">
        <v>175</v>
      </c>
      <c r="B153" s="37" t="s">
        <v>748</v>
      </c>
      <c r="C153" s="37" t="s">
        <v>34</v>
      </c>
      <c r="D153" s="37"/>
      <c r="E153" s="37">
        <v>2000</v>
      </c>
      <c r="F153" s="37" t="s">
        <v>749</v>
      </c>
      <c r="G153" s="37" t="s">
        <v>750</v>
      </c>
      <c r="H153" s="38">
        <v>12000</v>
      </c>
      <c r="I153" s="37" t="s">
        <v>20</v>
      </c>
      <c r="J153" s="37" t="s">
        <v>415</v>
      </c>
      <c r="K153" s="39">
        <v>45292</v>
      </c>
      <c r="L153" s="37" t="s">
        <v>20</v>
      </c>
      <c r="M153" s="37" t="s">
        <v>585</v>
      </c>
    </row>
    <row r="154" spans="1:13" ht="90">
      <c r="A154" s="37">
        <v>176</v>
      </c>
      <c r="B154" s="37" t="s">
        <v>751</v>
      </c>
      <c r="C154" s="37" t="s">
        <v>34</v>
      </c>
      <c r="D154" s="37"/>
      <c r="E154" s="37">
        <v>1</v>
      </c>
      <c r="F154" s="37" t="s">
        <v>594</v>
      </c>
      <c r="G154" s="37" t="s">
        <v>752</v>
      </c>
      <c r="H154" s="38">
        <v>150000</v>
      </c>
      <c r="I154" s="37" t="s">
        <v>20</v>
      </c>
      <c r="J154" s="37" t="s">
        <v>415</v>
      </c>
      <c r="K154" s="39">
        <v>45292</v>
      </c>
      <c r="L154" s="37" t="s">
        <v>20</v>
      </c>
      <c r="M154" s="37" t="s">
        <v>585</v>
      </c>
    </row>
  </sheetData>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0B78C-6C74-4F21-86AF-0B223026E51F}">
  <dimension ref="A1:N50"/>
  <sheetViews>
    <sheetView workbookViewId="0">
      <selection activeCell="E4" sqref="E4"/>
    </sheetView>
  </sheetViews>
  <sheetFormatPr defaultRowHeight="15"/>
  <cols>
    <col min="2" max="2" width="40.42578125" bestFit="1" customWidth="1"/>
  </cols>
  <sheetData>
    <row r="1" spans="1:14">
      <c r="A1" s="45"/>
    </row>
    <row r="2" spans="1:14" ht="46.5">
      <c r="A2" s="49" t="s">
        <v>0</v>
      </c>
      <c r="B2" s="49" t="s">
        <v>409</v>
      </c>
      <c r="C2" s="49" t="s">
        <v>410</v>
      </c>
      <c r="D2" s="49" t="s">
        <v>1</v>
      </c>
      <c r="E2" s="49" t="s">
        <v>582</v>
      </c>
      <c r="F2" s="49" t="s">
        <v>8</v>
      </c>
      <c r="G2" s="49" t="s">
        <v>412</v>
      </c>
      <c r="H2" s="49" t="s">
        <v>753</v>
      </c>
      <c r="I2" s="67" t="s">
        <v>3</v>
      </c>
      <c r="J2" s="59" t="s">
        <v>4</v>
      </c>
      <c r="K2" s="59" t="s">
        <v>5</v>
      </c>
      <c r="L2" s="59" t="s">
        <v>413</v>
      </c>
      <c r="M2" s="59" t="s">
        <v>7</v>
      </c>
      <c r="N2" s="59" t="s">
        <v>12</v>
      </c>
    </row>
    <row r="3" spans="1:14" ht="84.75">
      <c r="A3" s="50">
        <v>1</v>
      </c>
      <c r="B3" s="56" t="s">
        <v>754</v>
      </c>
      <c r="C3" s="48" t="s">
        <v>34</v>
      </c>
      <c r="D3" s="48" t="s">
        <v>755</v>
      </c>
      <c r="E3" s="48">
        <v>12</v>
      </c>
      <c r="F3" s="48" t="s">
        <v>756</v>
      </c>
      <c r="G3" s="48" t="s">
        <v>757</v>
      </c>
      <c r="H3" s="54">
        <v>1.2</v>
      </c>
      <c r="I3" s="68">
        <v>14.399999999999999</v>
      </c>
      <c r="J3" s="48" t="s">
        <v>758</v>
      </c>
      <c r="K3" s="48" t="s">
        <v>21</v>
      </c>
      <c r="L3" s="48" t="s">
        <v>758</v>
      </c>
      <c r="M3" s="48" t="s">
        <v>758</v>
      </c>
      <c r="N3" s="71" t="s">
        <v>759</v>
      </c>
    </row>
    <row r="4" spans="1:14" ht="84.75">
      <c r="A4" s="50">
        <v>2</v>
      </c>
      <c r="B4" s="56" t="s">
        <v>760</v>
      </c>
      <c r="C4" s="48" t="s">
        <v>34</v>
      </c>
      <c r="D4" s="48" t="s">
        <v>755</v>
      </c>
      <c r="E4" s="52">
        <v>12</v>
      </c>
      <c r="F4" s="48" t="s">
        <v>756</v>
      </c>
      <c r="G4" s="48" t="s">
        <v>757</v>
      </c>
      <c r="H4" s="54">
        <v>1.2</v>
      </c>
      <c r="I4" s="68">
        <v>14.399999999999999</v>
      </c>
      <c r="J4" s="48" t="s">
        <v>758</v>
      </c>
      <c r="K4" s="48" t="s">
        <v>21</v>
      </c>
      <c r="L4" s="48" t="s">
        <v>758</v>
      </c>
      <c r="M4" s="48" t="s">
        <v>758</v>
      </c>
      <c r="N4" s="71" t="s">
        <v>759</v>
      </c>
    </row>
    <row r="5" spans="1:14" ht="84.75">
      <c r="A5" s="50">
        <v>3</v>
      </c>
      <c r="B5" s="56" t="s">
        <v>761</v>
      </c>
      <c r="C5" s="48" t="s">
        <v>34</v>
      </c>
      <c r="D5" s="48" t="s">
        <v>755</v>
      </c>
      <c r="E5" s="48">
        <v>6</v>
      </c>
      <c r="F5" s="48" t="s">
        <v>756</v>
      </c>
      <c r="G5" s="48" t="s">
        <v>757</v>
      </c>
      <c r="H5" s="54">
        <v>1.2</v>
      </c>
      <c r="I5" s="68">
        <v>7.1999999999999993</v>
      </c>
      <c r="J5" s="48" t="s">
        <v>758</v>
      </c>
      <c r="K5" s="48" t="s">
        <v>21</v>
      </c>
      <c r="L5" s="48" t="s">
        <v>758</v>
      </c>
      <c r="M5" s="48" t="s">
        <v>758</v>
      </c>
      <c r="N5" s="71" t="s">
        <v>759</v>
      </c>
    </row>
    <row r="6" spans="1:14" ht="84.75">
      <c r="A6" s="50">
        <v>4</v>
      </c>
      <c r="B6" s="56" t="s">
        <v>762</v>
      </c>
      <c r="C6" s="48" t="s">
        <v>34</v>
      </c>
      <c r="D6" s="48" t="s">
        <v>755</v>
      </c>
      <c r="E6" s="48">
        <v>6</v>
      </c>
      <c r="F6" s="48" t="s">
        <v>756</v>
      </c>
      <c r="G6" s="48" t="s">
        <v>757</v>
      </c>
      <c r="H6" s="54">
        <v>1.8</v>
      </c>
      <c r="I6" s="68">
        <v>10.8</v>
      </c>
      <c r="J6" s="48" t="s">
        <v>758</v>
      </c>
      <c r="K6" s="48" t="s">
        <v>21</v>
      </c>
      <c r="L6" s="48" t="s">
        <v>758</v>
      </c>
      <c r="M6" s="48" t="s">
        <v>758</v>
      </c>
      <c r="N6" s="71" t="s">
        <v>759</v>
      </c>
    </row>
    <row r="7" spans="1:14" ht="84.75">
      <c r="A7" s="50">
        <v>5</v>
      </c>
      <c r="B7" s="56" t="s">
        <v>763</v>
      </c>
      <c r="C7" s="48" t="s">
        <v>34</v>
      </c>
      <c r="D7" s="48" t="s">
        <v>755</v>
      </c>
      <c r="E7" s="48">
        <v>6</v>
      </c>
      <c r="F7" s="48" t="s">
        <v>756</v>
      </c>
      <c r="G7" s="48" t="s">
        <v>757</v>
      </c>
      <c r="H7" s="54">
        <v>1.8</v>
      </c>
      <c r="I7" s="68">
        <v>10.8</v>
      </c>
      <c r="J7" s="48" t="s">
        <v>758</v>
      </c>
      <c r="K7" s="48" t="s">
        <v>21</v>
      </c>
      <c r="L7" s="48" t="s">
        <v>758</v>
      </c>
      <c r="M7" s="48" t="s">
        <v>758</v>
      </c>
      <c r="N7" s="71" t="s">
        <v>759</v>
      </c>
    </row>
    <row r="8" spans="1:14" ht="84.75">
      <c r="A8" s="50">
        <v>6</v>
      </c>
      <c r="B8" s="56" t="s">
        <v>764</v>
      </c>
      <c r="C8" s="48" t="s">
        <v>34</v>
      </c>
      <c r="D8" s="48" t="s">
        <v>755</v>
      </c>
      <c r="E8" s="48">
        <v>6</v>
      </c>
      <c r="F8" s="48" t="s">
        <v>765</v>
      </c>
      <c r="G8" s="48" t="s">
        <v>757</v>
      </c>
      <c r="H8" s="54">
        <v>1.8</v>
      </c>
      <c r="I8" s="68">
        <v>10.8</v>
      </c>
      <c r="J8" s="48" t="s">
        <v>758</v>
      </c>
      <c r="K8" s="48" t="s">
        <v>21</v>
      </c>
      <c r="L8" s="48" t="s">
        <v>758</v>
      </c>
      <c r="M8" s="48" t="s">
        <v>758</v>
      </c>
      <c r="N8" s="71" t="s">
        <v>759</v>
      </c>
    </row>
    <row r="9" spans="1:14" ht="84.75">
      <c r="A9" s="50">
        <v>7</v>
      </c>
      <c r="B9" s="57" t="s">
        <v>766</v>
      </c>
      <c r="C9" s="48" t="s">
        <v>34</v>
      </c>
      <c r="D9" s="48" t="s">
        <v>755</v>
      </c>
      <c r="E9" s="48">
        <v>6</v>
      </c>
      <c r="F9" s="48" t="s">
        <v>756</v>
      </c>
      <c r="G9" s="48" t="s">
        <v>757</v>
      </c>
      <c r="H9" s="54">
        <v>1.9</v>
      </c>
      <c r="I9" s="68">
        <v>11.399999999999999</v>
      </c>
      <c r="J9" s="48" t="s">
        <v>758</v>
      </c>
      <c r="K9" s="48" t="s">
        <v>21</v>
      </c>
      <c r="L9" s="48" t="s">
        <v>758</v>
      </c>
      <c r="M9" s="48" t="s">
        <v>758</v>
      </c>
      <c r="N9" s="71" t="s">
        <v>759</v>
      </c>
    </row>
    <row r="10" spans="1:14" ht="84.75">
      <c r="A10" s="50">
        <v>8</v>
      </c>
      <c r="B10" s="57" t="s">
        <v>767</v>
      </c>
      <c r="C10" s="48" t="s">
        <v>34</v>
      </c>
      <c r="D10" s="48" t="s">
        <v>755</v>
      </c>
      <c r="E10" s="48">
        <v>6</v>
      </c>
      <c r="F10" s="48" t="s">
        <v>756</v>
      </c>
      <c r="G10" s="48" t="s">
        <v>757</v>
      </c>
      <c r="H10" s="54">
        <v>1.9</v>
      </c>
      <c r="I10" s="68">
        <v>11.399999999999999</v>
      </c>
      <c r="J10" s="48" t="s">
        <v>758</v>
      </c>
      <c r="K10" s="48" t="s">
        <v>21</v>
      </c>
      <c r="L10" s="48" t="s">
        <v>758</v>
      </c>
      <c r="M10" s="48" t="s">
        <v>758</v>
      </c>
      <c r="N10" s="71" t="s">
        <v>759</v>
      </c>
    </row>
    <row r="11" spans="1:14" ht="84.75">
      <c r="A11" s="50">
        <v>9</v>
      </c>
      <c r="B11" s="57" t="s">
        <v>768</v>
      </c>
      <c r="C11" s="48" t="s">
        <v>34</v>
      </c>
      <c r="D11" s="48" t="s">
        <v>755</v>
      </c>
      <c r="E11" s="48">
        <v>6</v>
      </c>
      <c r="F11" s="48" t="s">
        <v>756</v>
      </c>
      <c r="G11" s="48" t="s">
        <v>757</v>
      </c>
      <c r="H11" s="54">
        <v>1.9</v>
      </c>
      <c r="I11" s="68">
        <v>11.399999999999999</v>
      </c>
      <c r="J11" s="48" t="s">
        <v>758</v>
      </c>
      <c r="K11" s="48" t="s">
        <v>21</v>
      </c>
      <c r="L11" s="48" t="s">
        <v>758</v>
      </c>
      <c r="M11" s="48" t="s">
        <v>758</v>
      </c>
      <c r="N11" s="71" t="s">
        <v>759</v>
      </c>
    </row>
    <row r="12" spans="1:14" ht="84.75">
      <c r="A12" s="50">
        <v>10</v>
      </c>
      <c r="B12" s="56" t="s">
        <v>769</v>
      </c>
      <c r="C12" s="48" t="s">
        <v>34</v>
      </c>
      <c r="D12" s="48" t="s">
        <v>755</v>
      </c>
      <c r="E12" s="48">
        <v>12</v>
      </c>
      <c r="F12" s="48" t="s">
        <v>756</v>
      </c>
      <c r="G12" s="48" t="s">
        <v>757</v>
      </c>
      <c r="H12" s="54">
        <v>1</v>
      </c>
      <c r="I12" s="68">
        <v>12</v>
      </c>
      <c r="J12" s="48" t="s">
        <v>758</v>
      </c>
      <c r="K12" s="48" t="s">
        <v>21</v>
      </c>
      <c r="L12" s="48" t="s">
        <v>758</v>
      </c>
      <c r="M12" s="48" t="s">
        <v>758</v>
      </c>
      <c r="N12" s="71" t="s">
        <v>759</v>
      </c>
    </row>
    <row r="13" spans="1:14" ht="84.75">
      <c r="A13" s="50">
        <v>10</v>
      </c>
      <c r="B13" s="56" t="s">
        <v>770</v>
      </c>
      <c r="C13" s="48" t="s">
        <v>34</v>
      </c>
      <c r="D13" s="48" t="s">
        <v>755</v>
      </c>
      <c r="E13" s="48">
        <v>10</v>
      </c>
      <c r="F13" s="48" t="s">
        <v>765</v>
      </c>
      <c r="G13" s="48" t="s">
        <v>757</v>
      </c>
      <c r="H13" s="54">
        <v>32.9</v>
      </c>
      <c r="I13" s="68">
        <v>329</v>
      </c>
      <c r="J13" s="48" t="s">
        <v>758</v>
      </c>
      <c r="K13" s="48" t="s">
        <v>21</v>
      </c>
      <c r="L13" s="48" t="s">
        <v>758</v>
      </c>
      <c r="M13" s="48" t="s">
        <v>758</v>
      </c>
      <c r="N13" s="71" t="s">
        <v>759</v>
      </c>
    </row>
    <row r="14" spans="1:14" ht="84.75">
      <c r="A14" s="50">
        <v>12</v>
      </c>
      <c r="B14" s="56" t="s">
        <v>771</v>
      </c>
      <c r="C14" s="48" t="s">
        <v>34</v>
      </c>
      <c r="D14" s="48" t="s">
        <v>755</v>
      </c>
      <c r="E14" s="48">
        <v>5</v>
      </c>
      <c r="F14" s="48" t="s">
        <v>681</v>
      </c>
      <c r="G14" s="48" t="s">
        <v>757</v>
      </c>
      <c r="H14" s="54">
        <v>34.9</v>
      </c>
      <c r="I14" s="68">
        <v>174.5</v>
      </c>
      <c r="J14" s="48" t="s">
        <v>758</v>
      </c>
      <c r="K14" s="48" t="s">
        <v>21</v>
      </c>
      <c r="L14" s="48" t="s">
        <v>758</v>
      </c>
      <c r="M14" s="48" t="s">
        <v>758</v>
      </c>
      <c r="N14" s="71" t="s">
        <v>759</v>
      </c>
    </row>
    <row r="15" spans="1:14" ht="84.75">
      <c r="A15" s="50">
        <v>13</v>
      </c>
      <c r="B15" s="56" t="s">
        <v>772</v>
      </c>
      <c r="C15" s="48" t="s">
        <v>34</v>
      </c>
      <c r="D15" s="48" t="s">
        <v>755</v>
      </c>
      <c r="E15" s="48">
        <v>2</v>
      </c>
      <c r="F15" s="48" t="s">
        <v>681</v>
      </c>
      <c r="G15" s="48" t="s">
        <v>757</v>
      </c>
      <c r="H15" s="54">
        <v>13.5</v>
      </c>
      <c r="I15" s="68">
        <v>27</v>
      </c>
      <c r="J15" s="48" t="s">
        <v>758</v>
      </c>
      <c r="K15" s="48" t="s">
        <v>21</v>
      </c>
      <c r="L15" s="48" t="s">
        <v>758</v>
      </c>
      <c r="M15" s="48" t="s">
        <v>758</v>
      </c>
      <c r="N15" s="71" t="s">
        <v>759</v>
      </c>
    </row>
    <row r="16" spans="1:14" ht="84.75">
      <c r="A16" s="50">
        <v>14</v>
      </c>
      <c r="B16" s="56" t="s">
        <v>773</v>
      </c>
      <c r="C16" s="51" t="s">
        <v>34</v>
      </c>
      <c r="D16" s="48" t="s">
        <v>755</v>
      </c>
      <c r="E16" s="48">
        <v>2</v>
      </c>
      <c r="F16" s="48" t="s">
        <v>681</v>
      </c>
      <c r="G16" s="48" t="s">
        <v>757</v>
      </c>
      <c r="H16" s="54">
        <v>14.9</v>
      </c>
      <c r="I16" s="68">
        <v>29.8</v>
      </c>
      <c r="J16" s="48" t="s">
        <v>758</v>
      </c>
      <c r="K16" s="48" t="s">
        <v>21</v>
      </c>
      <c r="L16" s="48" t="s">
        <v>758</v>
      </c>
      <c r="M16" s="48" t="s">
        <v>758</v>
      </c>
      <c r="N16" s="71" t="s">
        <v>759</v>
      </c>
    </row>
    <row r="17" spans="1:14" ht="84.75">
      <c r="A17" s="50">
        <v>15</v>
      </c>
      <c r="B17" s="58" t="s">
        <v>774</v>
      </c>
      <c r="C17" s="51" t="s">
        <v>34</v>
      </c>
      <c r="D17" s="48" t="s">
        <v>755</v>
      </c>
      <c r="E17" s="48">
        <v>2</v>
      </c>
      <c r="F17" s="48" t="s">
        <v>681</v>
      </c>
      <c r="G17" s="51" t="s">
        <v>757</v>
      </c>
      <c r="H17" s="54">
        <v>22.9</v>
      </c>
      <c r="I17" s="68">
        <v>45.8</v>
      </c>
      <c r="J17" s="48" t="s">
        <v>758</v>
      </c>
      <c r="K17" s="48" t="s">
        <v>21</v>
      </c>
      <c r="L17" s="48" t="s">
        <v>758</v>
      </c>
      <c r="M17" s="48" t="s">
        <v>758</v>
      </c>
      <c r="N17" s="71" t="s">
        <v>759</v>
      </c>
    </row>
    <row r="18" spans="1:14" ht="84.75">
      <c r="A18" s="50">
        <v>16</v>
      </c>
      <c r="B18" s="56" t="s">
        <v>775</v>
      </c>
      <c r="C18" s="48" t="s">
        <v>34</v>
      </c>
      <c r="D18" s="48" t="s">
        <v>755</v>
      </c>
      <c r="E18" s="48">
        <v>6</v>
      </c>
      <c r="F18" s="48" t="s">
        <v>756</v>
      </c>
      <c r="G18" s="48" t="s">
        <v>757</v>
      </c>
      <c r="H18" s="54">
        <v>2.4</v>
      </c>
      <c r="I18" s="68">
        <v>14.399999999999999</v>
      </c>
      <c r="J18" s="48" t="s">
        <v>758</v>
      </c>
      <c r="K18" s="48" t="s">
        <v>21</v>
      </c>
      <c r="L18" s="48" t="s">
        <v>758</v>
      </c>
      <c r="M18" s="48" t="s">
        <v>758</v>
      </c>
      <c r="N18" s="71" t="s">
        <v>759</v>
      </c>
    </row>
    <row r="19" spans="1:14" ht="84.75">
      <c r="A19" s="50">
        <v>17</v>
      </c>
      <c r="B19" s="56" t="s">
        <v>776</v>
      </c>
      <c r="C19" s="48" t="s">
        <v>34</v>
      </c>
      <c r="D19" s="48" t="s">
        <v>755</v>
      </c>
      <c r="E19" s="48">
        <v>6</v>
      </c>
      <c r="F19" s="51" t="s">
        <v>756</v>
      </c>
      <c r="G19" s="51" t="s">
        <v>757</v>
      </c>
      <c r="H19" s="54">
        <v>5.7</v>
      </c>
      <c r="I19" s="68">
        <v>34.200000000000003</v>
      </c>
      <c r="J19" s="48" t="s">
        <v>758</v>
      </c>
      <c r="K19" s="48" t="s">
        <v>21</v>
      </c>
      <c r="L19" s="48" t="s">
        <v>758</v>
      </c>
      <c r="M19" s="48" t="s">
        <v>758</v>
      </c>
      <c r="N19" s="71" t="s">
        <v>759</v>
      </c>
    </row>
    <row r="20" spans="1:14" ht="84.75">
      <c r="A20" s="50">
        <v>18</v>
      </c>
      <c r="B20" s="56" t="s">
        <v>777</v>
      </c>
      <c r="C20" s="51" t="s">
        <v>34</v>
      </c>
      <c r="D20" s="48" t="s">
        <v>755</v>
      </c>
      <c r="E20" s="48">
        <v>12</v>
      </c>
      <c r="F20" s="48" t="s">
        <v>756</v>
      </c>
      <c r="G20" s="48" t="s">
        <v>757</v>
      </c>
      <c r="H20" s="54">
        <v>7.9</v>
      </c>
      <c r="I20" s="68">
        <v>94.800000000000011</v>
      </c>
      <c r="J20" s="48" t="s">
        <v>758</v>
      </c>
      <c r="K20" s="48" t="s">
        <v>21</v>
      </c>
      <c r="L20" s="48" t="s">
        <v>758</v>
      </c>
      <c r="M20" s="48" t="s">
        <v>758</v>
      </c>
      <c r="N20" s="71" t="s">
        <v>759</v>
      </c>
    </row>
    <row r="21" spans="1:14" ht="84.75">
      <c r="A21" s="50">
        <v>19</v>
      </c>
      <c r="B21" s="56" t="s">
        <v>778</v>
      </c>
      <c r="C21" s="48" t="s">
        <v>34</v>
      </c>
      <c r="D21" s="48" t="s">
        <v>755</v>
      </c>
      <c r="E21" s="48">
        <v>12</v>
      </c>
      <c r="F21" s="51" t="s">
        <v>756</v>
      </c>
      <c r="G21" s="51" t="s">
        <v>757</v>
      </c>
      <c r="H21" s="54">
        <v>2.4500000000000002</v>
      </c>
      <c r="I21" s="68">
        <v>29.400000000000002</v>
      </c>
      <c r="J21" s="48" t="s">
        <v>758</v>
      </c>
      <c r="K21" s="48" t="s">
        <v>21</v>
      </c>
      <c r="L21" s="48" t="s">
        <v>758</v>
      </c>
      <c r="M21" s="48" t="s">
        <v>758</v>
      </c>
      <c r="N21" s="71" t="s">
        <v>759</v>
      </c>
    </row>
    <row r="22" spans="1:14" ht="84.75">
      <c r="A22" s="50">
        <v>20</v>
      </c>
      <c r="B22" s="56" t="s">
        <v>779</v>
      </c>
      <c r="C22" s="51" t="s">
        <v>34</v>
      </c>
      <c r="D22" s="48" t="s">
        <v>755</v>
      </c>
      <c r="E22" s="47">
        <v>20</v>
      </c>
      <c r="F22" s="46" t="s">
        <v>756</v>
      </c>
      <c r="G22" s="48" t="s">
        <v>757</v>
      </c>
      <c r="H22" s="54">
        <v>1</v>
      </c>
      <c r="I22" s="68">
        <v>20</v>
      </c>
      <c r="J22" s="48" t="s">
        <v>758</v>
      </c>
      <c r="K22" s="48" t="s">
        <v>21</v>
      </c>
      <c r="L22" s="48" t="s">
        <v>758</v>
      </c>
      <c r="M22" s="48" t="s">
        <v>758</v>
      </c>
      <c r="N22" s="71" t="s">
        <v>759</v>
      </c>
    </row>
    <row r="23" spans="1:14" ht="84.75">
      <c r="A23" s="50">
        <v>21</v>
      </c>
      <c r="B23" s="56" t="s">
        <v>779</v>
      </c>
      <c r="C23" s="51" t="s">
        <v>34</v>
      </c>
      <c r="D23" s="48" t="s">
        <v>755</v>
      </c>
      <c r="E23" s="47">
        <v>20</v>
      </c>
      <c r="F23" s="46" t="s">
        <v>756</v>
      </c>
      <c r="G23" s="48" t="s">
        <v>757</v>
      </c>
      <c r="H23" s="54">
        <v>1</v>
      </c>
      <c r="I23" s="68">
        <v>20</v>
      </c>
      <c r="J23" s="48" t="s">
        <v>758</v>
      </c>
      <c r="K23" s="48" t="s">
        <v>21</v>
      </c>
      <c r="L23" s="48" t="s">
        <v>758</v>
      </c>
      <c r="M23" s="48" t="s">
        <v>758</v>
      </c>
      <c r="N23" s="71" t="s">
        <v>759</v>
      </c>
    </row>
    <row r="24" spans="1:14" ht="84.75">
      <c r="A24" s="50">
        <v>22</v>
      </c>
      <c r="B24" s="60" t="s">
        <v>780</v>
      </c>
      <c r="C24" s="48" t="s">
        <v>34</v>
      </c>
      <c r="D24" s="48" t="s">
        <v>755</v>
      </c>
      <c r="E24" s="47">
        <v>20</v>
      </c>
      <c r="F24" s="46" t="s">
        <v>756</v>
      </c>
      <c r="G24" s="51" t="s">
        <v>757</v>
      </c>
      <c r="H24" s="54">
        <v>1</v>
      </c>
      <c r="I24" s="68">
        <v>20</v>
      </c>
      <c r="J24" s="48" t="s">
        <v>758</v>
      </c>
      <c r="K24" s="48" t="s">
        <v>21</v>
      </c>
      <c r="L24" s="48" t="s">
        <v>758</v>
      </c>
      <c r="M24" s="48" t="s">
        <v>758</v>
      </c>
      <c r="N24" s="71" t="s">
        <v>759</v>
      </c>
    </row>
    <row r="25" spans="1:14" ht="84.75">
      <c r="A25" s="50">
        <v>23</v>
      </c>
      <c r="B25" s="56" t="s">
        <v>781</v>
      </c>
      <c r="C25" s="48" t="s">
        <v>34</v>
      </c>
      <c r="D25" s="48" t="s">
        <v>755</v>
      </c>
      <c r="E25" s="47">
        <v>6</v>
      </c>
      <c r="F25" s="46" t="s">
        <v>756</v>
      </c>
      <c r="G25" s="48" t="s">
        <v>757</v>
      </c>
      <c r="H25" s="54">
        <v>6.5</v>
      </c>
      <c r="I25" s="68">
        <v>39</v>
      </c>
      <c r="J25" s="48" t="s">
        <v>758</v>
      </c>
      <c r="K25" s="48" t="s">
        <v>21</v>
      </c>
      <c r="L25" s="48" t="s">
        <v>758</v>
      </c>
      <c r="M25" s="48" t="s">
        <v>758</v>
      </c>
      <c r="N25" s="71" t="s">
        <v>759</v>
      </c>
    </row>
    <row r="26" spans="1:14" ht="84.75">
      <c r="A26" s="50">
        <v>24</v>
      </c>
      <c r="B26" s="56" t="s">
        <v>782</v>
      </c>
      <c r="C26" s="48" t="s">
        <v>34</v>
      </c>
      <c r="D26" s="48" t="s">
        <v>755</v>
      </c>
      <c r="E26" s="47">
        <v>20</v>
      </c>
      <c r="F26" s="46" t="s">
        <v>756</v>
      </c>
      <c r="G26" s="51" t="s">
        <v>757</v>
      </c>
      <c r="H26" s="54">
        <v>5.75</v>
      </c>
      <c r="I26" s="68">
        <v>115</v>
      </c>
      <c r="J26" s="48" t="s">
        <v>758</v>
      </c>
      <c r="K26" s="48" t="s">
        <v>21</v>
      </c>
      <c r="L26" s="48" t="s">
        <v>758</v>
      </c>
      <c r="M26" s="48" t="s">
        <v>758</v>
      </c>
      <c r="N26" s="71" t="s">
        <v>759</v>
      </c>
    </row>
    <row r="27" spans="1:14" ht="84.75">
      <c r="A27" s="50">
        <v>25</v>
      </c>
      <c r="B27" s="56" t="s">
        <v>783</v>
      </c>
      <c r="C27" s="48" t="s">
        <v>34</v>
      </c>
      <c r="D27" s="48" t="s">
        <v>755</v>
      </c>
      <c r="E27" s="47">
        <v>4</v>
      </c>
      <c r="F27" s="46" t="s">
        <v>756</v>
      </c>
      <c r="G27" s="48" t="s">
        <v>757</v>
      </c>
      <c r="H27" s="54">
        <v>5</v>
      </c>
      <c r="I27" s="68">
        <v>20</v>
      </c>
      <c r="J27" s="48" t="s">
        <v>758</v>
      </c>
      <c r="K27" s="48" t="s">
        <v>21</v>
      </c>
      <c r="L27" s="48" t="s">
        <v>758</v>
      </c>
      <c r="M27" s="48" t="s">
        <v>758</v>
      </c>
      <c r="N27" s="71" t="s">
        <v>759</v>
      </c>
    </row>
    <row r="28" spans="1:14" ht="84.75">
      <c r="A28" s="50">
        <v>26</v>
      </c>
      <c r="B28" s="56" t="s">
        <v>784</v>
      </c>
      <c r="C28" s="48" t="s">
        <v>34</v>
      </c>
      <c r="D28" s="48" t="s">
        <v>755</v>
      </c>
      <c r="E28" s="47">
        <v>2</v>
      </c>
      <c r="F28" s="46" t="s">
        <v>756</v>
      </c>
      <c r="G28" s="51" t="s">
        <v>757</v>
      </c>
      <c r="H28" s="54">
        <v>19.68</v>
      </c>
      <c r="I28" s="68">
        <v>39.36</v>
      </c>
      <c r="J28" s="48" t="s">
        <v>758</v>
      </c>
      <c r="K28" s="48" t="s">
        <v>21</v>
      </c>
      <c r="L28" s="48" t="s">
        <v>758</v>
      </c>
      <c r="M28" s="48" t="s">
        <v>758</v>
      </c>
      <c r="N28" s="71" t="s">
        <v>759</v>
      </c>
    </row>
    <row r="29" spans="1:14" ht="84.75">
      <c r="A29" s="50">
        <v>27</v>
      </c>
      <c r="B29" s="56" t="s">
        <v>785</v>
      </c>
      <c r="C29" s="51" t="s">
        <v>34</v>
      </c>
      <c r="D29" s="48" t="s">
        <v>755</v>
      </c>
      <c r="E29" s="47">
        <v>6</v>
      </c>
      <c r="F29" s="46" t="s">
        <v>756</v>
      </c>
      <c r="G29" s="48" t="s">
        <v>757</v>
      </c>
      <c r="H29" s="54">
        <v>9.99</v>
      </c>
      <c r="I29" s="68">
        <v>59.94</v>
      </c>
      <c r="J29" s="48" t="s">
        <v>758</v>
      </c>
      <c r="K29" s="48" t="s">
        <v>21</v>
      </c>
      <c r="L29" s="48" t="s">
        <v>758</v>
      </c>
      <c r="M29" s="48" t="s">
        <v>758</v>
      </c>
      <c r="N29" s="71" t="s">
        <v>759</v>
      </c>
    </row>
    <row r="30" spans="1:14" ht="84.75">
      <c r="A30" s="50">
        <v>28</v>
      </c>
      <c r="B30" s="56" t="s">
        <v>786</v>
      </c>
      <c r="C30" s="51" t="s">
        <v>34</v>
      </c>
      <c r="D30" s="48" t="s">
        <v>755</v>
      </c>
      <c r="E30" s="47">
        <v>2</v>
      </c>
      <c r="F30" s="46" t="s">
        <v>756</v>
      </c>
      <c r="G30" s="51" t="s">
        <v>757</v>
      </c>
      <c r="H30" s="54">
        <v>29.95</v>
      </c>
      <c r="I30" s="68">
        <v>59.9</v>
      </c>
      <c r="J30" s="48" t="s">
        <v>758</v>
      </c>
      <c r="K30" s="48" t="s">
        <v>21</v>
      </c>
      <c r="L30" s="48" t="s">
        <v>758</v>
      </c>
      <c r="M30" s="48" t="s">
        <v>758</v>
      </c>
      <c r="N30" s="71" t="s">
        <v>759</v>
      </c>
    </row>
    <row r="31" spans="1:14" ht="84.75">
      <c r="A31" s="50">
        <v>29</v>
      </c>
      <c r="B31" s="60" t="s">
        <v>787</v>
      </c>
      <c r="C31" s="48" t="s">
        <v>34</v>
      </c>
      <c r="D31" s="48" t="s">
        <v>755</v>
      </c>
      <c r="E31" s="47">
        <v>2</v>
      </c>
      <c r="F31" s="46" t="s">
        <v>756</v>
      </c>
      <c r="G31" s="48" t="s">
        <v>757</v>
      </c>
      <c r="H31" s="54">
        <v>44.17</v>
      </c>
      <c r="I31" s="68">
        <v>88.34</v>
      </c>
      <c r="J31" s="48" t="s">
        <v>758</v>
      </c>
      <c r="K31" s="48" t="s">
        <v>21</v>
      </c>
      <c r="L31" s="48" t="s">
        <v>758</v>
      </c>
      <c r="M31" s="48" t="s">
        <v>758</v>
      </c>
      <c r="N31" s="71" t="s">
        <v>759</v>
      </c>
    </row>
    <row r="32" spans="1:14" ht="84.75">
      <c r="A32" s="50">
        <v>30</v>
      </c>
      <c r="B32" s="60" t="s">
        <v>788</v>
      </c>
      <c r="C32" s="48" t="s">
        <v>34</v>
      </c>
      <c r="D32" s="48" t="s">
        <v>755</v>
      </c>
      <c r="E32" s="47">
        <v>2</v>
      </c>
      <c r="F32" s="46" t="s">
        <v>756</v>
      </c>
      <c r="G32" s="51" t="s">
        <v>757</v>
      </c>
      <c r="H32" s="54">
        <v>25</v>
      </c>
      <c r="I32" s="68">
        <v>50</v>
      </c>
      <c r="J32" s="48" t="s">
        <v>758</v>
      </c>
      <c r="K32" s="48" t="s">
        <v>21</v>
      </c>
      <c r="L32" s="48" t="s">
        <v>758</v>
      </c>
      <c r="M32" s="48" t="s">
        <v>758</v>
      </c>
      <c r="N32" s="71" t="s">
        <v>759</v>
      </c>
    </row>
    <row r="33" spans="1:14" ht="84.75">
      <c r="A33" s="50">
        <v>31</v>
      </c>
      <c r="B33" s="60" t="s">
        <v>789</v>
      </c>
      <c r="C33" s="48" t="s">
        <v>34</v>
      </c>
      <c r="D33" s="48" t="s">
        <v>755</v>
      </c>
      <c r="E33" s="47">
        <v>4</v>
      </c>
      <c r="F33" s="46" t="s">
        <v>756</v>
      </c>
      <c r="G33" s="48" t="s">
        <v>757</v>
      </c>
      <c r="H33" s="54">
        <v>21.3</v>
      </c>
      <c r="I33" s="68">
        <v>85.2</v>
      </c>
      <c r="J33" s="48" t="s">
        <v>758</v>
      </c>
      <c r="K33" s="48" t="s">
        <v>21</v>
      </c>
      <c r="L33" s="48" t="s">
        <v>758</v>
      </c>
      <c r="M33" s="48" t="s">
        <v>758</v>
      </c>
      <c r="N33" s="71" t="s">
        <v>759</v>
      </c>
    </row>
    <row r="34" spans="1:14" ht="84.75">
      <c r="A34" s="50">
        <v>32</v>
      </c>
      <c r="B34" s="56" t="s">
        <v>790</v>
      </c>
      <c r="C34" s="48" t="s">
        <v>34</v>
      </c>
      <c r="D34" s="48" t="s">
        <v>755</v>
      </c>
      <c r="E34" s="47">
        <v>1</v>
      </c>
      <c r="F34" s="46" t="s">
        <v>756</v>
      </c>
      <c r="G34" s="48" t="s">
        <v>757</v>
      </c>
      <c r="H34" s="54">
        <v>113.13</v>
      </c>
      <c r="I34" s="68">
        <v>113.13</v>
      </c>
      <c r="J34" s="48" t="s">
        <v>758</v>
      </c>
      <c r="K34" s="48" t="s">
        <v>21</v>
      </c>
      <c r="L34" s="48" t="s">
        <v>758</v>
      </c>
      <c r="M34" s="48" t="s">
        <v>758</v>
      </c>
      <c r="N34" s="71" t="s">
        <v>759</v>
      </c>
    </row>
    <row r="35" spans="1:14" ht="84.75">
      <c r="A35" s="50">
        <v>33</v>
      </c>
      <c r="B35" s="60" t="s">
        <v>791</v>
      </c>
      <c r="C35" s="48" t="s">
        <v>34</v>
      </c>
      <c r="D35" s="48" t="s">
        <v>755</v>
      </c>
      <c r="E35" s="47">
        <v>10</v>
      </c>
      <c r="F35" s="46" t="s">
        <v>756</v>
      </c>
      <c r="G35" s="48" t="s">
        <v>757</v>
      </c>
      <c r="H35" s="54">
        <v>0.2</v>
      </c>
      <c r="I35" s="68">
        <v>2</v>
      </c>
      <c r="J35" s="48" t="s">
        <v>758</v>
      </c>
      <c r="K35" s="48" t="s">
        <v>21</v>
      </c>
      <c r="L35" s="48" t="s">
        <v>758</v>
      </c>
      <c r="M35" s="48" t="s">
        <v>758</v>
      </c>
      <c r="N35" s="71" t="s">
        <v>759</v>
      </c>
    </row>
    <row r="36" spans="1:14" ht="84.75">
      <c r="A36" s="50">
        <v>34</v>
      </c>
      <c r="B36" s="60" t="s">
        <v>792</v>
      </c>
      <c r="C36" s="48" t="s">
        <v>34</v>
      </c>
      <c r="D36" s="48" t="s">
        <v>755</v>
      </c>
      <c r="E36" s="47">
        <v>2</v>
      </c>
      <c r="F36" s="46" t="s">
        <v>756</v>
      </c>
      <c r="G36" s="48" t="s">
        <v>757</v>
      </c>
      <c r="H36" s="54">
        <v>18.739999999999998</v>
      </c>
      <c r="I36" s="68">
        <v>37.479999999999997</v>
      </c>
      <c r="J36" s="48" t="s">
        <v>758</v>
      </c>
      <c r="K36" s="48" t="s">
        <v>21</v>
      </c>
      <c r="L36" s="48" t="s">
        <v>758</v>
      </c>
      <c r="M36" s="48" t="s">
        <v>758</v>
      </c>
      <c r="N36" s="71" t="s">
        <v>759</v>
      </c>
    </row>
    <row r="37" spans="1:14" ht="84.75">
      <c r="A37" s="50">
        <v>35</v>
      </c>
      <c r="B37" s="60" t="s">
        <v>793</v>
      </c>
      <c r="C37" s="48" t="s">
        <v>34</v>
      </c>
      <c r="D37" s="48" t="s">
        <v>755</v>
      </c>
      <c r="E37" s="47">
        <v>10</v>
      </c>
      <c r="F37" s="47" t="s">
        <v>794</v>
      </c>
      <c r="G37" s="48" t="s">
        <v>757</v>
      </c>
      <c r="H37" s="54">
        <v>14.89</v>
      </c>
      <c r="I37" s="68">
        <v>148.9</v>
      </c>
      <c r="J37" s="48" t="s">
        <v>758</v>
      </c>
      <c r="K37" s="48" t="s">
        <v>21</v>
      </c>
      <c r="L37" s="48" t="s">
        <v>758</v>
      </c>
      <c r="M37" s="48" t="s">
        <v>758</v>
      </c>
      <c r="N37" s="71" t="s">
        <v>759</v>
      </c>
    </row>
    <row r="38" spans="1:14" ht="84.75">
      <c r="A38" s="50">
        <v>36</v>
      </c>
      <c r="B38" s="60" t="s">
        <v>795</v>
      </c>
      <c r="C38" s="48" t="s">
        <v>34</v>
      </c>
      <c r="D38" s="48" t="s">
        <v>755</v>
      </c>
      <c r="E38" s="47">
        <v>6</v>
      </c>
      <c r="F38" s="47" t="s">
        <v>756</v>
      </c>
      <c r="G38" s="48" t="s">
        <v>757</v>
      </c>
      <c r="H38" s="54">
        <v>3.6</v>
      </c>
      <c r="I38" s="68">
        <v>21.6</v>
      </c>
      <c r="J38" s="48" t="s">
        <v>758</v>
      </c>
      <c r="K38" s="48" t="s">
        <v>21</v>
      </c>
      <c r="L38" s="48" t="s">
        <v>758</v>
      </c>
      <c r="M38" s="48" t="s">
        <v>758</v>
      </c>
      <c r="N38" s="71" t="s">
        <v>759</v>
      </c>
    </row>
    <row r="39" spans="1:14" ht="84.75">
      <c r="A39" s="50">
        <v>37</v>
      </c>
      <c r="B39" s="60" t="s">
        <v>796</v>
      </c>
      <c r="C39" s="48" t="s">
        <v>797</v>
      </c>
      <c r="D39" s="48" t="s">
        <v>755</v>
      </c>
      <c r="E39" s="47">
        <v>50</v>
      </c>
      <c r="F39" s="47" t="s">
        <v>756</v>
      </c>
      <c r="G39" s="48" t="s">
        <v>757</v>
      </c>
      <c r="H39" s="54">
        <v>10</v>
      </c>
      <c r="I39" s="68">
        <v>500</v>
      </c>
      <c r="J39" s="48" t="s">
        <v>758</v>
      </c>
      <c r="K39" s="48" t="s">
        <v>21</v>
      </c>
      <c r="L39" s="48" t="s">
        <v>758</v>
      </c>
      <c r="M39" s="48" t="s">
        <v>758</v>
      </c>
      <c r="N39" s="71" t="s">
        <v>759</v>
      </c>
    </row>
    <row r="40" spans="1:14" ht="84.75">
      <c r="A40" s="50">
        <v>39</v>
      </c>
      <c r="B40" s="56" t="s">
        <v>798</v>
      </c>
      <c r="C40" s="48" t="s">
        <v>34</v>
      </c>
      <c r="D40" s="48" t="s">
        <v>168</v>
      </c>
      <c r="E40" s="48">
        <v>1</v>
      </c>
      <c r="F40" s="48" t="s">
        <v>756</v>
      </c>
      <c r="G40" s="48" t="s">
        <v>757</v>
      </c>
      <c r="H40" s="64">
        <v>100</v>
      </c>
      <c r="I40" s="66">
        <v>100</v>
      </c>
      <c r="J40" s="48" t="s">
        <v>20</v>
      </c>
      <c r="K40" s="48" t="s">
        <v>21</v>
      </c>
      <c r="L40" s="48" t="s">
        <v>758</v>
      </c>
      <c r="M40" s="48" t="s">
        <v>758</v>
      </c>
      <c r="N40" s="71" t="s">
        <v>759</v>
      </c>
    </row>
    <row r="41" spans="1:14" ht="84.75">
      <c r="A41" s="50">
        <v>40</v>
      </c>
      <c r="B41" s="60" t="s">
        <v>799</v>
      </c>
      <c r="C41" s="48" t="s">
        <v>172</v>
      </c>
      <c r="D41" s="48" t="s">
        <v>168</v>
      </c>
      <c r="E41" s="48">
        <v>3</v>
      </c>
      <c r="F41" s="48" t="s">
        <v>756</v>
      </c>
      <c r="G41" s="48" t="s">
        <v>757</v>
      </c>
      <c r="H41" s="65">
        <v>369</v>
      </c>
      <c r="I41" s="66">
        <v>1107</v>
      </c>
      <c r="J41" s="48" t="s">
        <v>20</v>
      </c>
      <c r="K41" s="48" t="s">
        <v>21</v>
      </c>
      <c r="L41" s="48" t="s">
        <v>758</v>
      </c>
      <c r="M41" s="48" t="s">
        <v>758</v>
      </c>
      <c r="N41" s="71" t="s">
        <v>759</v>
      </c>
    </row>
    <row r="42" spans="1:14" ht="84.75">
      <c r="A42" s="50">
        <v>41</v>
      </c>
      <c r="B42" s="56" t="s">
        <v>800</v>
      </c>
      <c r="C42" s="48" t="s">
        <v>801</v>
      </c>
      <c r="D42" s="48" t="s">
        <v>168</v>
      </c>
      <c r="E42" s="48">
        <v>3</v>
      </c>
      <c r="F42" s="48" t="s">
        <v>756</v>
      </c>
      <c r="G42" s="48" t="s">
        <v>802</v>
      </c>
      <c r="H42" s="64">
        <v>299</v>
      </c>
      <c r="I42" s="66">
        <v>897</v>
      </c>
      <c r="J42" s="48" t="s">
        <v>20</v>
      </c>
      <c r="K42" s="48" t="s">
        <v>21</v>
      </c>
      <c r="L42" s="48" t="s">
        <v>758</v>
      </c>
      <c r="M42" s="48" t="s">
        <v>758</v>
      </c>
      <c r="N42" s="71" t="s">
        <v>759</v>
      </c>
    </row>
    <row r="43" spans="1:14" ht="84.75">
      <c r="A43" s="50">
        <v>43</v>
      </c>
      <c r="B43" s="56" t="s">
        <v>803</v>
      </c>
      <c r="C43" s="48" t="s">
        <v>34</v>
      </c>
      <c r="D43" s="48" t="s">
        <v>168</v>
      </c>
      <c r="E43" s="48">
        <v>1</v>
      </c>
      <c r="F43" s="48" t="s">
        <v>756</v>
      </c>
      <c r="G43" s="48" t="s">
        <v>757</v>
      </c>
      <c r="H43" s="68">
        <v>60</v>
      </c>
      <c r="I43" s="68">
        <v>60</v>
      </c>
      <c r="J43" s="48" t="s">
        <v>758</v>
      </c>
      <c r="K43" s="48" t="s">
        <v>21</v>
      </c>
      <c r="L43" s="48" t="s">
        <v>758</v>
      </c>
      <c r="M43" s="48" t="s">
        <v>758</v>
      </c>
      <c r="N43" s="71" t="s">
        <v>759</v>
      </c>
    </row>
    <row r="44" spans="1:14" ht="84.75">
      <c r="A44" s="50">
        <v>44</v>
      </c>
      <c r="B44" s="56" t="s">
        <v>804</v>
      </c>
      <c r="C44" s="48" t="s">
        <v>34</v>
      </c>
      <c r="D44" s="48" t="s">
        <v>805</v>
      </c>
      <c r="E44" s="48">
        <v>1</v>
      </c>
      <c r="F44" s="48" t="s">
        <v>756</v>
      </c>
      <c r="G44" s="48" t="s">
        <v>757</v>
      </c>
      <c r="H44" s="68">
        <v>350</v>
      </c>
      <c r="I44" s="68">
        <v>350</v>
      </c>
      <c r="J44" s="48" t="s">
        <v>758</v>
      </c>
      <c r="K44" s="48" t="s">
        <v>21</v>
      </c>
      <c r="L44" s="48" t="s">
        <v>758</v>
      </c>
      <c r="M44" s="48" t="s">
        <v>758</v>
      </c>
      <c r="N44" s="71" t="s">
        <v>759</v>
      </c>
    </row>
    <row r="45" spans="1:14" ht="84.75">
      <c r="A45" s="50">
        <v>45</v>
      </c>
      <c r="B45" s="60" t="s">
        <v>806</v>
      </c>
      <c r="C45" s="48" t="s">
        <v>34</v>
      </c>
      <c r="D45" s="48" t="s">
        <v>168</v>
      </c>
      <c r="E45" s="48">
        <v>1</v>
      </c>
      <c r="F45" s="48" t="s">
        <v>756</v>
      </c>
      <c r="G45" s="48" t="s">
        <v>757</v>
      </c>
      <c r="H45" s="68">
        <v>6500</v>
      </c>
      <c r="I45" s="68">
        <v>6500</v>
      </c>
      <c r="J45" s="48" t="s">
        <v>758</v>
      </c>
      <c r="K45" s="48" t="s">
        <v>21</v>
      </c>
      <c r="L45" s="48" t="s">
        <v>758</v>
      </c>
      <c r="M45" s="48" t="s">
        <v>758</v>
      </c>
      <c r="N45" s="71" t="s">
        <v>759</v>
      </c>
    </row>
    <row r="46" spans="1:14" ht="84.75">
      <c r="A46" s="50">
        <v>46</v>
      </c>
      <c r="B46" s="60" t="s">
        <v>807</v>
      </c>
      <c r="C46" s="48" t="s">
        <v>34</v>
      </c>
      <c r="D46" s="48" t="s">
        <v>168</v>
      </c>
      <c r="E46" s="48">
        <v>1</v>
      </c>
      <c r="F46" s="48" t="s">
        <v>756</v>
      </c>
      <c r="G46" s="48" t="s">
        <v>757</v>
      </c>
      <c r="H46" s="62">
        <v>2399</v>
      </c>
      <c r="I46" s="68">
        <v>2399</v>
      </c>
      <c r="J46" s="48" t="s">
        <v>758</v>
      </c>
      <c r="K46" s="48" t="s">
        <v>21</v>
      </c>
      <c r="L46" s="48" t="s">
        <v>758</v>
      </c>
      <c r="M46" s="48" t="s">
        <v>758</v>
      </c>
      <c r="N46" s="71" t="s">
        <v>759</v>
      </c>
    </row>
    <row r="47" spans="1:14" ht="84.75">
      <c r="A47" s="50">
        <v>47</v>
      </c>
      <c r="B47" s="55" t="s">
        <v>808</v>
      </c>
      <c r="C47" s="48" t="s">
        <v>34</v>
      </c>
      <c r="D47" s="48" t="s">
        <v>168</v>
      </c>
      <c r="E47" s="48">
        <v>1</v>
      </c>
      <c r="F47" s="48" t="s">
        <v>756</v>
      </c>
      <c r="G47" s="48" t="s">
        <v>757</v>
      </c>
      <c r="H47" s="68">
        <v>289.89999999999998</v>
      </c>
      <c r="I47" s="68">
        <v>289.89999999999998</v>
      </c>
      <c r="J47" s="48" t="s">
        <v>758</v>
      </c>
      <c r="K47" s="48" t="s">
        <v>21</v>
      </c>
      <c r="L47" s="48" t="s">
        <v>758</v>
      </c>
      <c r="M47" s="48" t="s">
        <v>758</v>
      </c>
      <c r="N47" s="71" t="s">
        <v>759</v>
      </c>
    </row>
    <row r="48" spans="1:14" ht="84.75">
      <c r="A48" s="50">
        <v>48</v>
      </c>
      <c r="B48" s="63" t="s">
        <v>809</v>
      </c>
      <c r="C48" s="48" t="s">
        <v>34</v>
      </c>
      <c r="D48" s="48" t="s">
        <v>168</v>
      </c>
      <c r="E48" s="52">
        <v>1</v>
      </c>
      <c r="F48" s="48" t="s">
        <v>756</v>
      </c>
      <c r="G48" s="48" t="s">
        <v>757</v>
      </c>
      <c r="H48" s="68">
        <v>50</v>
      </c>
      <c r="I48" s="68">
        <v>50</v>
      </c>
      <c r="J48" s="48" t="s">
        <v>758</v>
      </c>
      <c r="K48" s="48" t="s">
        <v>21</v>
      </c>
      <c r="L48" s="48" t="s">
        <v>758</v>
      </c>
      <c r="M48" s="48" t="s">
        <v>758</v>
      </c>
      <c r="N48" s="71" t="s">
        <v>759</v>
      </c>
    </row>
    <row r="49" spans="1:14" ht="84.75">
      <c r="A49" s="50">
        <v>52</v>
      </c>
      <c r="B49" s="56" t="s">
        <v>810</v>
      </c>
      <c r="C49" s="48" t="s">
        <v>801</v>
      </c>
      <c r="D49" s="48" t="s">
        <v>811</v>
      </c>
      <c r="E49" s="48">
        <v>576</v>
      </c>
      <c r="F49" s="48" t="s">
        <v>756</v>
      </c>
      <c r="G49" s="48" t="s">
        <v>757</v>
      </c>
      <c r="H49" s="54">
        <v>1.5</v>
      </c>
      <c r="I49" s="69">
        <v>864</v>
      </c>
      <c r="J49" s="48" t="s">
        <v>20</v>
      </c>
      <c r="K49" s="48" t="s">
        <v>331</v>
      </c>
      <c r="L49" s="48" t="s">
        <v>758</v>
      </c>
      <c r="M49" s="48" t="s">
        <v>758</v>
      </c>
      <c r="N49" s="71" t="s">
        <v>759</v>
      </c>
    </row>
    <row r="50" spans="1:14" ht="84.75">
      <c r="A50" s="50">
        <v>53</v>
      </c>
      <c r="B50" s="56" t="s">
        <v>812</v>
      </c>
      <c r="C50" s="48" t="s">
        <v>801</v>
      </c>
      <c r="D50" s="48" t="s">
        <v>811</v>
      </c>
      <c r="E50" s="48">
        <v>60</v>
      </c>
      <c r="F50" s="48" t="s">
        <v>813</v>
      </c>
      <c r="G50" s="48" t="s">
        <v>757</v>
      </c>
      <c r="H50" s="54">
        <v>12</v>
      </c>
      <c r="I50" s="69">
        <v>720</v>
      </c>
      <c r="J50" s="48" t="s">
        <v>20</v>
      </c>
      <c r="K50" s="48" t="s">
        <v>331</v>
      </c>
      <c r="L50" s="48" t="s">
        <v>758</v>
      </c>
      <c r="M50" s="48" t="s">
        <v>758</v>
      </c>
      <c r="N50" s="71" t="s">
        <v>759</v>
      </c>
    </row>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1DE8A-B1B9-41AF-A1D5-1AE96D7A181B}">
  <dimension ref="A1:O1246"/>
  <sheetViews>
    <sheetView workbookViewId="0">
      <selection activeCell="K5" sqref="K5"/>
    </sheetView>
  </sheetViews>
  <sheetFormatPr defaultRowHeight="15"/>
  <cols>
    <col min="2" max="2" width="10.85546875" bestFit="1" customWidth="1"/>
  </cols>
  <sheetData>
    <row r="1" spans="1:15" ht="45">
      <c r="A1" s="44" t="s">
        <v>814</v>
      </c>
      <c r="B1" s="74" t="s">
        <v>409</v>
      </c>
      <c r="C1" s="75" t="s">
        <v>410</v>
      </c>
      <c r="D1" s="75" t="s">
        <v>1</v>
      </c>
      <c r="E1" s="76" t="s">
        <v>815</v>
      </c>
      <c r="F1" s="77" t="s">
        <v>753</v>
      </c>
      <c r="G1" s="75" t="s">
        <v>816</v>
      </c>
      <c r="H1" s="75" t="s">
        <v>412</v>
      </c>
      <c r="I1" s="77" t="s">
        <v>817</v>
      </c>
      <c r="J1" s="75" t="s">
        <v>818</v>
      </c>
      <c r="K1" s="75" t="s">
        <v>819</v>
      </c>
      <c r="L1" s="78" t="s">
        <v>820</v>
      </c>
      <c r="M1" s="75" t="s">
        <v>821</v>
      </c>
      <c r="N1" s="79" t="s">
        <v>822</v>
      </c>
      <c r="O1" s="80" t="s">
        <v>12</v>
      </c>
    </row>
    <row r="2" spans="1:15" ht="36">
      <c r="A2" s="81">
        <f t="shared" ref="A2:A65" si="0">ROW(A1)</f>
        <v>1</v>
      </c>
      <c r="B2" s="82" t="s">
        <v>823</v>
      </c>
      <c r="C2" s="83" t="s">
        <v>25</v>
      </c>
      <c r="D2" s="83" t="s">
        <v>35</v>
      </c>
      <c r="E2" s="84">
        <v>6</v>
      </c>
      <c r="F2" s="85">
        <v>1390</v>
      </c>
      <c r="G2" s="83" t="s">
        <v>824</v>
      </c>
      <c r="H2" s="83" t="s">
        <v>825</v>
      </c>
      <c r="I2" s="85">
        <f>Planejamento2024[[#This Row],[Qnt de Itens]]*Planejamento2024[[#This Row],[Valor unitário]]</f>
        <v>8340</v>
      </c>
      <c r="J2" s="83" t="s">
        <v>20</v>
      </c>
      <c r="K2" s="83" t="s">
        <v>492</v>
      </c>
      <c r="L2" s="86">
        <v>45293</v>
      </c>
      <c r="M2" s="83" t="s">
        <v>20</v>
      </c>
      <c r="N2" s="87" t="s">
        <v>826</v>
      </c>
      <c r="O2" s="83" t="s">
        <v>827</v>
      </c>
    </row>
    <row r="3" spans="1:15" ht="36">
      <c r="A3" s="81">
        <f t="shared" si="0"/>
        <v>2</v>
      </c>
      <c r="B3" s="82" t="s">
        <v>828</v>
      </c>
      <c r="C3" s="83" t="s">
        <v>25</v>
      </c>
      <c r="D3" s="83" t="s">
        <v>35</v>
      </c>
      <c r="E3" s="84">
        <v>8</v>
      </c>
      <c r="F3" s="85">
        <v>1570</v>
      </c>
      <c r="G3" s="83" t="s">
        <v>824</v>
      </c>
      <c r="H3" s="83" t="s">
        <v>825</v>
      </c>
      <c r="I3" s="85">
        <f>Planejamento2024[[#This Row],[Qnt de Itens]]*Planejamento2024[[#This Row],[Valor unitário]]</f>
        <v>12560</v>
      </c>
      <c r="J3" s="83" t="s">
        <v>20</v>
      </c>
      <c r="K3" s="83" t="s">
        <v>492</v>
      </c>
      <c r="L3" s="86">
        <v>45294</v>
      </c>
      <c r="M3" s="83" t="s">
        <v>20</v>
      </c>
      <c r="N3" s="87" t="s">
        <v>826</v>
      </c>
      <c r="O3" s="83" t="s">
        <v>827</v>
      </c>
    </row>
    <row r="4" spans="1:15" ht="36">
      <c r="A4" s="81">
        <f t="shared" si="0"/>
        <v>3</v>
      </c>
      <c r="B4" s="82" t="s">
        <v>829</v>
      </c>
      <c r="C4" s="83" t="s">
        <v>25</v>
      </c>
      <c r="D4" s="83" t="s">
        <v>35</v>
      </c>
      <c r="E4" s="84">
        <v>3</v>
      </c>
      <c r="F4" s="85">
        <v>2032.5</v>
      </c>
      <c r="G4" s="83" t="s">
        <v>824</v>
      </c>
      <c r="H4" s="83" t="s">
        <v>825</v>
      </c>
      <c r="I4" s="85">
        <f>Planejamento2024[[#This Row],[Qnt de Itens]]*Planejamento2024[[#This Row],[Valor unitário]]</f>
        <v>6097.5</v>
      </c>
      <c r="J4" s="83" t="s">
        <v>20</v>
      </c>
      <c r="K4" s="83" t="s">
        <v>492</v>
      </c>
      <c r="L4" s="86">
        <v>45295</v>
      </c>
      <c r="M4" s="83" t="s">
        <v>20</v>
      </c>
      <c r="N4" s="87" t="s">
        <v>826</v>
      </c>
      <c r="O4" s="83" t="s">
        <v>827</v>
      </c>
    </row>
    <row r="5" spans="1:15" ht="45">
      <c r="A5" s="81">
        <f t="shared" si="0"/>
        <v>4</v>
      </c>
      <c r="B5" s="82" t="s">
        <v>830</v>
      </c>
      <c r="C5" s="83" t="s">
        <v>25</v>
      </c>
      <c r="D5" s="83" t="s">
        <v>35</v>
      </c>
      <c r="E5" s="84">
        <v>14</v>
      </c>
      <c r="F5" s="85">
        <v>250</v>
      </c>
      <c r="G5" s="83" t="s">
        <v>824</v>
      </c>
      <c r="H5" s="83" t="s">
        <v>825</v>
      </c>
      <c r="I5" s="85">
        <f>Planejamento2024[[#This Row],[Qnt de Itens]]*Planejamento2024[[#This Row],[Valor unitário]]</f>
        <v>3500</v>
      </c>
      <c r="J5" s="83" t="s">
        <v>20</v>
      </c>
      <c r="K5" s="83" t="s">
        <v>492</v>
      </c>
      <c r="L5" s="86">
        <v>45296</v>
      </c>
      <c r="M5" s="83" t="s">
        <v>20</v>
      </c>
      <c r="N5" s="87" t="s">
        <v>826</v>
      </c>
      <c r="O5" s="83" t="s">
        <v>827</v>
      </c>
    </row>
    <row r="6" spans="1:15" ht="54">
      <c r="A6" s="81">
        <f t="shared" si="0"/>
        <v>5</v>
      </c>
      <c r="B6" s="82" t="s">
        <v>831</v>
      </c>
      <c r="C6" s="83" t="s">
        <v>25</v>
      </c>
      <c r="D6" s="83" t="s">
        <v>35</v>
      </c>
      <c r="E6" s="84">
        <v>14</v>
      </c>
      <c r="F6" s="85">
        <v>550</v>
      </c>
      <c r="G6" s="83" t="s">
        <v>824</v>
      </c>
      <c r="H6" s="83" t="s">
        <v>825</v>
      </c>
      <c r="I6" s="85">
        <f>Planejamento2024[[#This Row],[Qnt de Itens]]*Planejamento2024[[#This Row],[Valor unitário]]</f>
        <v>7700</v>
      </c>
      <c r="J6" s="83" t="s">
        <v>20</v>
      </c>
      <c r="K6" s="83" t="s">
        <v>492</v>
      </c>
      <c r="L6" s="86">
        <v>45297</v>
      </c>
      <c r="M6" s="83" t="s">
        <v>20</v>
      </c>
      <c r="N6" s="87" t="s">
        <v>826</v>
      </c>
      <c r="O6" s="83" t="s">
        <v>827</v>
      </c>
    </row>
    <row r="7" spans="1:15" ht="54">
      <c r="A7" s="81">
        <f t="shared" si="0"/>
        <v>6</v>
      </c>
      <c r="B7" s="82" t="s">
        <v>832</v>
      </c>
      <c r="C7" s="83" t="s">
        <v>25</v>
      </c>
      <c r="D7" s="83" t="s">
        <v>35</v>
      </c>
      <c r="E7" s="84">
        <v>70</v>
      </c>
      <c r="F7" s="88">
        <v>413.33</v>
      </c>
      <c r="G7" s="83" t="s">
        <v>824</v>
      </c>
      <c r="H7" s="83" t="s">
        <v>825</v>
      </c>
      <c r="I7" s="85">
        <f>Planejamento2024[[#This Row],[Qnt de Itens]]*Planejamento2024[[#This Row],[Valor unitário]]</f>
        <v>28933.1</v>
      </c>
      <c r="J7" s="83" t="s">
        <v>20</v>
      </c>
      <c r="K7" s="83" t="s">
        <v>492</v>
      </c>
      <c r="L7" s="86">
        <v>45297</v>
      </c>
      <c r="M7" s="83" t="s">
        <v>20</v>
      </c>
      <c r="N7" s="87" t="s">
        <v>826</v>
      </c>
      <c r="O7" s="83" t="s">
        <v>827</v>
      </c>
    </row>
    <row r="8" spans="1:15" ht="27">
      <c r="A8" s="81">
        <f t="shared" si="0"/>
        <v>7</v>
      </c>
      <c r="B8" s="82" t="s">
        <v>833</v>
      </c>
      <c r="C8" s="83" t="s">
        <v>34</v>
      </c>
      <c r="D8" s="83" t="s">
        <v>168</v>
      </c>
      <c r="E8" s="84">
        <v>10</v>
      </c>
      <c r="F8" s="85">
        <v>250</v>
      </c>
      <c r="G8" s="83" t="s">
        <v>834</v>
      </c>
      <c r="H8" s="83" t="s">
        <v>835</v>
      </c>
      <c r="I8" s="85">
        <f>Planejamento2024[[#This Row],[Qnt de Itens]]*Planejamento2024[[#This Row],[Valor unitário]]</f>
        <v>2500</v>
      </c>
      <c r="J8" s="83" t="s">
        <v>20</v>
      </c>
      <c r="K8" s="83" t="s">
        <v>415</v>
      </c>
      <c r="L8" s="86">
        <v>45292</v>
      </c>
      <c r="M8" s="83" t="s">
        <v>20</v>
      </c>
      <c r="N8" s="87" t="s">
        <v>836</v>
      </c>
      <c r="O8" s="83" t="s">
        <v>827</v>
      </c>
    </row>
    <row r="9" spans="1:15" ht="45">
      <c r="A9" s="81">
        <f t="shared" si="0"/>
        <v>8</v>
      </c>
      <c r="B9" s="82" t="s">
        <v>837</v>
      </c>
      <c r="C9" s="83" t="s">
        <v>25</v>
      </c>
      <c r="D9" s="83" t="s">
        <v>17</v>
      </c>
      <c r="E9" s="84">
        <v>12</v>
      </c>
      <c r="F9" s="88">
        <f>250*1.23</f>
        <v>307.5</v>
      </c>
      <c r="G9" s="83" t="s">
        <v>18</v>
      </c>
      <c r="H9" s="83" t="s">
        <v>838</v>
      </c>
      <c r="I9" s="85">
        <f>Planejamento2024[[#This Row],[Qnt de Itens]]*Planejamento2024[[#This Row],[Valor unitário]]</f>
        <v>3690</v>
      </c>
      <c r="J9" s="83" t="s">
        <v>38</v>
      </c>
      <c r="K9" s="83" t="s">
        <v>415</v>
      </c>
      <c r="L9" s="86">
        <v>45446</v>
      </c>
      <c r="M9" s="83" t="s">
        <v>38</v>
      </c>
      <c r="N9" s="87" t="s">
        <v>839</v>
      </c>
      <c r="O9" s="83" t="s">
        <v>827</v>
      </c>
    </row>
    <row r="10" spans="1:15" ht="63">
      <c r="A10" s="81">
        <f t="shared" si="0"/>
        <v>9</v>
      </c>
      <c r="B10" s="82" t="s">
        <v>840</v>
      </c>
      <c r="C10" s="83" t="s">
        <v>25</v>
      </c>
      <c r="D10" s="83" t="s">
        <v>17</v>
      </c>
      <c r="E10" s="84">
        <v>12</v>
      </c>
      <c r="F10" s="88">
        <f>600*1.23</f>
        <v>738</v>
      </c>
      <c r="G10" s="83" t="s">
        <v>18</v>
      </c>
      <c r="H10" s="83" t="s">
        <v>838</v>
      </c>
      <c r="I10" s="85">
        <f>Planejamento2024[[#This Row],[Qnt de Itens]]*Planejamento2024[[#This Row],[Valor unitário]]</f>
        <v>8856</v>
      </c>
      <c r="J10" s="83" t="s">
        <v>38</v>
      </c>
      <c r="K10" s="83" t="s">
        <v>415</v>
      </c>
      <c r="L10" s="86">
        <v>45446</v>
      </c>
      <c r="M10" s="83" t="s">
        <v>38</v>
      </c>
      <c r="N10" s="87" t="s">
        <v>839</v>
      </c>
      <c r="O10" s="83" t="s">
        <v>827</v>
      </c>
    </row>
    <row r="11" spans="1:15" ht="54">
      <c r="A11" s="81">
        <f t="shared" si="0"/>
        <v>10</v>
      </c>
      <c r="B11" s="82" t="s">
        <v>841</v>
      </c>
      <c r="C11" s="83" t="s">
        <v>25</v>
      </c>
      <c r="D11" s="83" t="s">
        <v>17</v>
      </c>
      <c r="E11" s="84">
        <v>12</v>
      </c>
      <c r="F11" s="88">
        <f>907*1.23</f>
        <v>1115.6099999999999</v>
      </c>
      <c r="G11" s="83" t="s">
        <v>18</v>
      </c>
      <c r="H11" s="83" t="s">
        <v>838</v>
      </c>
      <c r="I11" s="85">
        <f>Planejamento2024[[#This Row],[Qnt de Itens]]*Planejamento2024[[#This Row],[Valor unitário]]</f>
        <v>13387.32</v>
      </c>
      <c r="J11" s="83" t="s">
        <v>38</v>
      </c>
      <c r="K11" s="83" t="s">
        <v>415</v>
      </c>
      <c r="L11" s="86">
        <v>45446</v>
      </c>
      <c r="M11" s="83" t="s">
        <v>38</v>
      </c>
      <c r="N11" s="87" t="s">
        <v>839</v>
      </c>
      <c r="O11" s="83" t="s">
        <v>827</v>
      </c>
    </row>
    <row r="12" spans="1:15" ht="63">
      <c r="A12" s="81">
        <f t="shared" si="0"/>
        <v>11</v>
      </c>
      <c r="B12" s="82" t="s">
        <v>842</v>
      </c>
      <c r="C12" s="83" t="s">
        <v>25</v>
      </c>
      <c r="D12" s="83" t="s">
        <v>17</v>
      </c>
      <c r="E12" s="84">
        <v>12</v>
      </c>
      <c r="F12" s="88">
        <f>1550*1.23</f>
        <v>1906.5</v>
      </c>
      <c r="G12" s="83" t="s">
        <v>18</v>
      </c>
      <c r="H12" s="83" t="s">
        <v>838</v>
      </c>
      <c r="I12" s="85">
        <f>Planejamento2024[[#This Row],[Qnt de Itens]]*Planejamento2024[[#This Row],[Valor unitário]]</f>
        <v>22878</v>
      </c>
      <c r="J12" s="83" t="s">
        <v>38</v>
      </c>
      <c r="K12" s="83" t="s">
        <v>415</v>
      </c>
      <c r="L12" s="86">
        <v>45446</v>
      </c>
      <c r="M12" s="83" t="s">
        <v>38</v>
      </c>
      <c r="N12" s="87" t="s">
        <v>839</v>
      </c>
      <c r="O12" s="83" t="s">
        <v>827</v>
      </c>
    </row>
    <row r="13" spans="1:15" ht="54">
      <c r="A13" s="81">
        <f t="shared" si="0"/>
        <v>12</v>
      </c>
      <c r="B13" s="82" t="s">
        <v>843</v>
      </c>
      <c r="C13" s="83" t="s">
        <v>25</v>
      </c>
      <c r="D13" s="83" t="s">
        <v>17</v>
      </c>
      <c r="E13" s="84">
        <v>12</v>
      </c>
      <c r="F13" s="88">
        <f>5462*1.23</f>
        <v>6718.26</v>
      </c>
      <c r="G13" s="83" t="s">
        <v>18</v>
      </c>
      <c r="H13" s="83" t="s">
        <v>838</v>
      </c>
      <c r="I13" s="85">
        <f>Planejamento2024[[#This Row],[Qnt de Itens]]*Planejamento2024[[#This Row],[Valor unitário]]</f>
        <v>80619.12</v>
      </c>
      <c r="J13" s="83" t="s">
        <v>38</v>
      </c>
      <c r="K13" s="83" t="s">
        <v>415</v>
      </c>
      <c r="L13" s="86">
        <v>45446</v>
      </c>
      <c r="M13" s="83" t="s">
        <v>38</v>
      </c>
      <c r="N13" s="87" t="s">
        <v>839</v>
      </c>
      <c r="O13" s="83" t="s">
        <v>827</v>
      </c>
    </row>
    <row r="14" spans="1:15" ht="45">
      <c r="A14" s="81">
        <f t="shared" si="0"/>
        <v>13</v>
      </c>
      <c r="B14" s="82" t="s">
        <v>844</v>
      </c>
      <c r="C14" s="83" t="s">
        <v>25</v>
      </c>
      <c r="D14" s="83" t="s">
        <v>17</v>
      </c>
      <c r="E14" s="84">
        <v>12</v>
      </c>
      <c r="F14" s="88">
        <f>215*1.23</f>
        <v>264.45</v>
      </c>
      <c r="G14" s="83" t="s">
        <v>18</v>
      </c>
      <c r="H14" s="83" t="s">
        <v>838</v>
      </c>
      <c r="I14" s="85">
        <f>Planejamento2024[[#This Row],[Qnt de Itens]]*Planejamento2024[[#This Row],[Valor unitário]]</f>
        <v>3173.3999999999996</v>
      </c>
      <c r="J14" s="83" t="s">
        <v>38</v>
      </c>
      <c r="K14" s="83" t="s">
        <v>415</v>
      </c>
      <c r="L14" s="86">
        <v>45446</v>
      </c>
      <c r="M14" s="83" t="s">
        <v>38</v>
      </c>
      <c r="N14" s="87" t="s">
        <v>839</v>
      </c>
      <c r="O14" s="83" t="s">
        <v>827</v>
      </c>
    </row>
    <row r="15" spans="1:15" ht="54">
      <c r="A15" s="81">
        <f t="shared" si="0"/>
        <v>14</v>
      </c>
      <c r="B15" s="82" t="s">
        <v>845</v>
      </c>
      <c r="C15" s="83" t="s">
        <v>25</v>
      </c>
      <c r="D15" s="83" t="s">
        <v>17</v>
      </c>
      <c r="E15" s="84">
        <v>12</v>
      </c>
      <c r="F15" s="88">
        <f>230*1.23</f>
        <v>282.89999999999998</v>
      </c>
      <c r="G15" s="83" t="s">
        <v>18</v>
      </c>
      <c r="H15" s="83" t="s">
        <v>838</v>
      </c>
      <c r="I15" s="85">
        <f>Planejamento2024[[#This Row],[Qnt de Itens]]*Planejamento2024[[#This Row],[Valor unitário]]</f>
        <v>3394.7999999999997</v>
      </c>
      <c r="J15" s="83" t="s">
        <v>38</v>
      </c>
      <c r="K15" s="83" t="s">
        <v>415</v>
      </c>
      <c r="L15" s="86">
        <v>45446</v>
      </c>
      <c r="M15" s="83" t="s">
        <v>38</v>
      </c>
      <c r="N15" s="87" t="s">
        <v>839</v>
      </c>
      <c r="O15" s="83" t="s">
        <v>827</v>
      </c>
    </row>
    <row r="16" spans="1:15" ht="54">
      <c r="A16" s="81">
        <f t="shared" si="0"/>
        <v>15</v>
      </c>
      <c r="B16" s="82" t="s">
        <v>846</v>
      </c>
      <c r="C16" s="83" t="s">
        <v>25</v>
      </c>
      <c r="D16" s="83" t="s">
        <v>17</v>
      </c>
      <c r="E16" s="84">
        <v>12</v>
      </c>
      <c r="F16" s="88">
        <f>304*1.23</f>
        <v>373.92</v>
      </c>
      <c r="G16" s="83" t="s">
        <v>18</v>
      </c>
      <c r="H16" s="83" t="s">
        <v>838</v>
      </c>
      <c r="I16" s="85">
        <f>Planejamento2024[[#This Row],[Qnt de Itens]]*Planejamento2024[[#This Row],[Valor unitário]]</f>
        <v>4487.04</v>
      </c>
      <c r="J16" s="83" t="s">
        <v>38</v>
      </c>
      <c r="K16" s="83" t="s">
        <v>415</v>
      </c>
      <c r="L16" s="86">
        <v>45446</v>
      </c>
      <c r="M16" s="83" t="s">
        <v>38</v>
      </c>
      <c r="N16" s="87" t="s">
        <v>839</v>
      </c>
      <c r="O16" s="83" t="s">
        <v>827</v>
      </c>
    </row>
    <row r="17" spans="1:15" ht="54">
      <c r="A17" s="81">
        <f t="shared" si="0"/>
        <v>16</v>
      </c>
      <c r="B17" s="82" t="s">
        <v>847</v>
      </c>
      <c r="C17" s="83" t="s">
        <v>25</v>
      </c>
      <c r="D17" s="83" t="s">
        <v>17</v>
      </c>
      <c r="E17" s="84">
        <v>12</v>
      </c>
      <c r="F17" s="88">
        <f>777*1.23</f>
        <v>955.71</v>
      </c>
      <c r="G17" s="83" t="s">
        <v>18</v>
      </c>
      <c r="H17" s="83" t="s">
        <v>838</v>
      </c>
      <c r="I17" s="85">
        <f>Planejamento2024[[#This Row],[Qnt de Itens]]*Planejamento2024[[#This Row],[Valor unitário]]</f>
        <v>11468.52</v>
      </c>
      <c r="J17" s="83" t="s">
        <v>38</v>
      </c>
      <c r="K17" s="83" t="s">
        <v>415</v>
      </c>
      <c r="L17" s="86">
        <v>45446</v>
      </c>
      <c r="M17" s="83" t="s">
        <v>38</v>
      </c>
      <c r="N17" s="87" t="s">
        <v>839</v>
      </c>
      <c r="O17" s="83" t="s">
        <v>827</v>
      </c>
    </row>
    <row r="18" spans="1:15" ht="81">
      <c r="A18" s="81">
        <f t="shared" si="0"/>
        <v>17</v>
      </c>
      <c r="B18" s="82" t="s">
        <v>848</v>
      </c>
      <c r="C18" s="83" t="s">
        <v>25</v>
      </c>
      <c r="D18" s="83" t="s">
        <v>17</v>
      </c>
      <c r="E18" s="84">
        <v>12</v>
      </c>
      <c r="F18" s="88">
        <f>1250*1.23</f>
        <v>1537.5</v>
      </c>
      <c r="G18" s="83" t="s">
        <v>18</v>
      </c>
      <c r="H18" s="83" t="s">
        <v>838</v>
      </c>
      <c r="I18" s="85">
        <f>Planejamento2024[[#This Row],[Qnt de Itens]]*Planejamento2024[[#This Row],[Valor unitário]]</f>
        <v>18450</v>
      </c>
      <c r="J18" s="83" t="s">
        <v>38</v>
      </c>
      <c r="K18" s="83" t="s">
        <v>415</v>
      </c>
      <c r="L18" s="86">
        <v>45446</v>
      </c>
      <c r="M18" s="83" t="s">
        <v>38</v>
      </c>
      <c r="N18" s="87" t="s">
        <v>839</v>
      </c>
      <c r="O18" s="83" t="s">
        <v>827</v>
      </c>
    </row>
    <row r="19" spans="1:15" ht="72">
      <c r="A19" s="81">
        <f t="shared" si="0"/>
        <v>18</v>
      </c>
      <c r="B19" s="82" t="s">
        <v>849</v>
      </c>
      <c r="C19" s="83" t="s">
        <v>25</v>
      </c>
      <c r="D19" s="83" t="s">
        <v>17</v>
      </c>
      <c r="E19" s="84">
        <v>12</v>
      </c>
      <c r="F19" s="88">
        <f>200*1.23</f>
        <v>246</v>
      </c>
      <c r="G19" s="83" t="s">
        <v>18</v>
      </c>
      <c r="H19" s="83" t="s">
        <v>838</v>
      </c>
      <c r="I19" s="85">
        <f>Planejamento2024[[#This Row],[Qnt de Itens]]*Planejamento2024[[#This Row],[Valor unitário]]</f>
        <v>2952</v>
      </c>
      <c r="J19" s="83" t="s">
        <v>38</v>
      </c>
      <c r="K19" s="83" t="s">
        <v>415</v>
      </c>
      <c r="L19" s="86">
        <v>45446</v>
      </c>
      <c r="M19" s="83" t="s">
        <v>38</v>
      </c>
      <c r="N19" s="87" t="s">
        <v>839</v>
      </c>
      <c r="O19" s="83" t="s">
        <v>827</v>
      </c>
    </row>
    <row r="20" spans="1:15" ht="54">
      <c r="A20" s="81">
        <f t="shared" si="0"/>
        <v>19</v>
      </c>
      <c r="B20" s="82" t="s">
        <v>850</v>
      </c>
      <c r="C20" s="83" t="s">
        <v>25</v>
      </c>
      <c r="D20" s="83" t="s">
        <v>17</v>
      </c>
      <c r="E20" s="84">
        <v>12</v>
      </c>
      <c r="F20" s="88">
        <f>1500*1.23</f>
        <v>1845</v>
      </c>
      <c r="G20" s="83" t="s">
        <v>18</v>
      </c>
      <c r="H20" s="83" t="s">
        <v>838</v>
      </c>
      <c r="I20" s="85">
        <f>Planejamento2024[[#This Row],[Qnt de Itens]]*Planejamento2024[[#This Row],[Valor unitário]]</f>
        <v>22140</v>
      </c>
      <c r="J20" s="83" t="s">
        <v>38</v>
      </c>
      <c r="K20" s="83" t="s">
        <v>415</v>
      </c>
      <c r="L20" s="86">
        <v>45446</v>
      </c>
      <c r="M20" s="83" t="s">
        <v>38</v>
      </c>
      <c r="N20" s="87" t="s">
        <v>839</v>
      </c>
      <c r="O20" s="83" t="s">
        <v>827</v>
      </c>
    </row>
    <row r="21" spans="1:15" ht="63">
      <c r="A21" s="81">
        <f t="shared" si="0"/>
        <v>20</v>
      </c>
      <c r="B21" s="82" t="s">
        <v>851</v>
      </c>
      <c r="C21" s="83" t="s">
        <v>25</v>
      </c>
      <c r="D21" s="83" t="s">
        <v>17</v>
      </c>
      <c r="E21" s="84">
        <v>12</v>
      </c>
      <c r="F21" s="88">
        <f>175*1.23</f>
        <v>215.25</v>
      </c>
      <c r="G21" s="83" t="s">
        <v>18</v>
      </c>
      <c r="H21" s="83" t="s">
        <v>838</v>
      </c>
      <c r="I21" s="85">
        <f>Planejamento2024[[#This Row],[Qnt de Itens]]*Planejamento2024[[#This Row],[Valor unitário]]</f>
        <v>2583</v>
      </c>
      <c r="J21" s="83" t="s">
        <v>38</v>
      </c>
      <c r="K21" s="83" t="s">
        <v>415</v>
      </c>
      <c r="L21" s="86">
        <v>45446</v>
      </c>
      <c r="M21" s="83" t="s">
        <v>38</v>
      </c>
      <c r="N21" s="87" t="s">
        <v>839</v>
      </c>
      <c r="O21" s="83" t="s">
        <v>827</v>
      </c>
    </row>
    <row r="22" spans="1:15" ht="63">
      <c r="A22" s="81">
        <f t="shared" si="0"/>
        <v>21</v>
      </c>
      <c r="B22" s="82" t="s">
        <v>852</v>
      </c>
      <c r="C22" s="83" t="s">
        <v>25</v>
      </c>
      <c r="D22" s="83" t="s">
        <v>17</v>
      </c>
      <c r="E22" s="84">
        <v>12</v>
      </c>
      <c r="F22" s="88">
        <f>2862*1.23</f>
        <v>3520.2599999999998</v>
      </c>
      <c r="G22" s="83" t="s">
        <v>18</v>
      </c>
      <c r="H22" s="83" t="s">
        <v>838</v>
      </c>
      <c r="I22" s="85">
        <f>Planejamento2024[[#This Row],[Qnt de Itens]]*Planejamento2024[[#This Row],[Valor unitário]]</f>
        <v>42243.119999999995</v>
      </c>
      <c r="J22" s="83" t="s">
        <v>38</v>
      </c>
      <c r="K22" s="83" t="s">
        <v>415</v>
      </c>
      <c r="L22" s="86">
        <v>45446</v>
      </c>
      <c r="M22" s="83" t="s">
        <v>38</v>
      </c>
      <c r="N22" s="87" t="s">
        <v>839</v>
      </c>
      <c r="O22" s="83" t="s">
        <v>827</v>
      </c>
    </row>
    <row r="23" spans="1:15" ht="45">
      <c r="A23" s="81">
        <f t="shared" si="0"/>
        <v>22</v>
      </c>
      <c r="B23" s="82" t="s">
        <v>853</v>
      </c>
      <c r="C23" s="83" t="s">
        <v>25</v>
      </c>
      <c r="D23" s="83" t="s">
        <v>17</v>
      </c>
      <c r="E23" s="84">
        <v>12</v>
      </c>
      <c r="F23" s="88">
        <f>1052*1.23</f>
        <v>1293.96</v>
      </c>
      <c r="G23" s="83" t="s">
        <v>18</v>
      </c>
      <c r="H23" s="83" t="s">
        <v>838</v>
      </c>
      <c r="I23" s="85">
        <f>Planejamento2024[[#This Row],[Qnt de Itens]]*Planejamento2024[[#This Row],[Valor unitário]]</f>
        <v>15527.52</v>
      </c>
      <c r="J23" s="83" t="s">
        <v>38</v>
      </c>
      <c r="K23" s="83" t="s">
        <v>415</v>
      </c>
      <c r="L23" s="86">
        <v>45446</v>
      </c>
      <c r="M23" s="83" t="s">
        <v>38</v>
      </c>
      <c r="N23" s="87" t="s">
        <v>839</v>
      </c>
      <c r="O23" s="83" t="s">
        <v>827</v>
      </c>
    </row>
    <row r="24" spans="1:15" ht="54">
      <c r="A24" s="81">
        <f t="shared" si="0"/>
        <v>23</v>
      </c>
      <c r="B24" s="82" t="s">
        <v>854</v>
      </c>
      <c r="C24" s="83" t="s">
        <v>25</v>
      </c>
      <c r="D24" s="83" t="s">
        <v>17</v>
      </c>
      <c r="E24" s="84">
        <v>12</v>
      </c>
      <c r="F24" s="88">
        <f>1795*1.23</f>
        <v>2207.85</v>
      </c>
      <c r="G24" s="83" t="s">
        <v>18</v>
      </c>
      <c r="H24" s="83" t="s">
        <v>838</v>
      </c>
      <c r="I24" s="85">
        <f>Planejamento2024[[#This Row],[Qnt de Itens]]*Planejamento2024[[#This Row],[Valor unitário]]</f>
        <v>26494.199999999997</v>
      </c>
      <c r="J24" s="83" t="s">
        <v>38</v>
      </c>
      <c r="K24" s="83" t="s">
        <v>415</v>
      </c>
      <c r="L24" s="86">
        <v>45446</v>
      </c>
      <c r="M24" s="83" t="s">
        <v>38</v>
      </c>
      <c r="N24" s="87" t="s">
        <v>839</v>
      </c>
      <c r="O24" s="83" t="s">
        <v>827</v>
      </c>
    </row>
    <row r="25" spans="1:15" ht="54">
      <c r="A25" s="81">
        <f t="shared" si="0"/>
        <v>24</v>
      </c>
      <c r="B25" s="82" t="s">
        <v>855</v>
      </c>
      <c r="C25" s="83" t="s">
        <v>25</v>
      </c>
      <c r="D25" s="83" t="s">
        <v>17</v>
      </c>
      <c r="E25" s="84">
        <v>12</v>
      </c>
      <c r="F25" s="88"/>
      <c r="G25" s="83" t="s">
        <v>18</v>
      </c>
      <c r="H25" s="83" t="s">
        <v>838</v>
      </c>
      <c r="I25" s="85">
        <f>Planejamento2024[[#This Row],[Qnt de Itens]]*Planejamento2024[[#This Row],[Valor unitário]]</f>
        <v>0</v>
      </c>
      <c r="J25" s="83" t="s">
        <v>38</v>
      </c>
      <c r="K25" s="83" t="s">
        <v>415</v>
      </c>
      <c r="L25" s="86">
        <v>45446</v>
      </c>
      <c r="M25" s="83" t="s">
        <v>38</v>
      </c>
      <c r="N25" s="87" t="s">
        <v>839</v>
      </c>
      <c r="O25" s="83" t="s">
        <v>827</v>
      </c>
    </row>
    <row r="26" spans="1:15" ht="54">
      <c r="A26" s="81">
        <f t="shared" si="0"/>
        <v>25</v>
      </c>
      <c r="B26" s="82" t="s">
        <v>856</v>
      </c>
      <c r="C26" s="83" t="s">
        <v>25</v>
      </c>
      <c r="D26" s="83" t="s">
        <v>17</v>
      </c>
      <c r="E26" s="84">
        <v>12</v>
      </c>
      <c r="F26" s="88">
        <f>1080*1.23</f>
        <v>1328.4</v>
      </c>
      <c r="G26" s="83" t="s">
        <v>18</v>
      </c>
      <c r="H26" s="83" t="s">
        <v>838</v>
      </c>
      <c r="I26" s="85">
        <f>Planejamento2024[[#This Row],[Qnt de Itens]]*Planejamento2024[[#This Row],[Valor unitário]]</f>
        <v>15940.800000000001</v>
      </c>
      <c r="J26" s="83" t="s">
        <v>38</v>
      </c>
      <c r="K26" s="83" t="s">
        <v>415</v>
      </c>
      <c r="L26" s="86">
        <v>45446</v>
      </c>
      <c r="M26" s="83" t="s">
        <v>38</v>
      </c>
      <c r="N26" s="87" t="s">
        <v>839</v>
      </c>
      <c r="O26" s="83" t="s">
        <v>827</v>
      </c>
    </row>
    <row r="27" spans="1:15" ht="63">
      <c r="A27" s="81">
        <f t="shared" si="0"/>
        <v>26</v>
      </c>
      <c r="B27" s="82" t="s">
        <v>857</v>
      </c>
      <c r="C27" s="83" t="s">
        <v>25</v>
      </c>
      <c r="D27" s="83" t="s">
        <v>17</v>
      </c>
      <c r="E27" s="84">
        <v>12</v>
      </c>
      <c r="F27" s="88">
        <f>2222*1.23</f>
        <v>2733.06</v>
      </c>
      <c r="G27" s="83" t="s">
        <v>18</v>
      </c>
      <c r="H27" s="83" t="s">
        <v>838</v>
      </c>
      <c r="I27" s="85">
        <f>Planejamento2024[[#This Row],[Qnt de Itens]]*Planejamento2024[[#This Row],[Valor unitário]]</f>
        <v>32796.720000000001</v>
      </c>
      <c r="J27" s="83" t="s">
        <v>38</v>
      </c>
      <c r="K27" s="83" t="s">
        <v>415</v>
      </c>
      <c r="L27" s="86">
        <v>45446</v>
      </c>
      <c r="M27" s="83" t="s">
        <v>38</v>
      </c>
      <c r="N27" s="87" t="s">
        <v>839</v>
      </c>
      <c r="O27" s="83" t="s">
        <v>827</v>
      </c>
    </row>
    <row r="28" spans="1:15" ht="54">
      <c r="A28" s="81">
        <f t="shared" si="0"/>
        <v>27</v>
      </c>
      <c r="B28" s="82" t="s">
        <v>858</v>
      </c>
      <c r="C28" s="83" t="s">
        <v>25</v>
      </c>
      <c r="D28" s="83" t="s">
        <v>17</v>
      </c>
      <c r="E28" s="84">
        <v>12</v>
      </c>
      <c r="F28" s="88">
        <f>2152*1.23</f>
        <v>2646.96</v>
      </c>
      <c r="G28" s="83" t="s">
        <v>18</v>
      </c>
      <c r="H28" s="83" t="s">
        <v>838</v>
      </c>
      <c r="I28" s="85">
        <f>Planejamento2024[[#This Row],[Qnt de Itens]]*Planejamento2024[[#This Row],[Valor unitário]]</f>
        <v>31763.52</v>
      </c>
      <c r="J28" s="83" t="s">
        <v>38</v>
      </c>
      <c r="K28" s="83" t="s">
        <v>415</v>
      </c>
      <c r="L28" s="86">
        <v>45446</v>
      </c>
      <c r="M28" s="83" t="s">
        <v>38</v>
      </c>
      <c r="N28" s="87" t="s">
        <v>839</v>
      </c>
      <c r="O28" s="83" t="s">
        <v>827</v>
      </c>
    </row>
    <row r="29" spans="1:15" ht="54">
      <c r="A29" s="81">
        <f t="shared" si="0"/>
        <v>28</v>
      </c>
      <c r="B29" s="82" t="s">
        <v>859</v>
      </c>
      <c r="C29" s="83" t="s">
        <v>25</v>
      </c>
      <c r="D29" s="83" t="s">
        <v>17</v>
      </c>
      <c r="E29" s="84">
        <v>12</v>
      </c>
      <c r="F29" s="88">
        <f>697*1.23</f>
        <v>857.31</v>
      </c>
      <c r="G29" s="83" t="s">
        <v>18</v>
      </c>
      <c r="H29" s="83" t="s">
        <v>838</v>
      </c>
      <c r="I29" s="85">
        <f>Planejamento2024[[#This Row],[Qnt de Itens]]*Planejamento2024[[#This Row],[Valor unitário]]</f>
        <v>10287.719999999999</v>
      </c>
      <c r="J29" s="83" t="s">
        <v>38</v>
      </c>
      <c r="K29" s="83" t="s">
        <v>415</v>
      </c>
      <c r="L29" s="86">
        <v>45446</v>
      </c>
      <c r="M29" s="83" t="s">
        <v>38</v>
      </c>
      <c r="N29" s="87" t="s">
        <v>839</v>
      </c>
      <c r="O29" s="83" t="s">
        <v>827</v>
      </c>
    </row>
    <row r="30" spans="1:15" ht="54">
      <c r="A30" s="81">
        <f t="shared" si="0"/>
        <v>29</v>
      </c>
      <c r="B30" s="82" t="s">
        <v>860</v>
      </c>
      <c r="C30" s="83" t="s">
        <v>25</v>
      </c>
      <c r="D30" s="83" t="s">
        <v>17</v>
      </c>
      <c r="E30" s="84">
        <v>12</v>
      </c>
      <c r="F30" s="88">
        <f>1162*1.23</f>
        <v>1429.26</v>
      </c>
      <c r="G30" s="83" t="s">
        <v>18</v>
      </c>
      <c r="H30" s="83" t="s">
        <v>838</v>
      </c>
      <c r="I30" s="85">
        <f>Planejamento2024[[#This Row],[Qnt de Itens]]*Planejamento2024[[#This Row],[Valor unitário]]</f>
        <v>17151.12</v>
      </c>
      <c r="J30" s="83" t="s">
        <v>38</v>
      </c>
      <c r="K30" s="83" t="s">
        <v>415</v>
      </c>
      <c r="L30" s="86">
        <v>45446</v>
      </c>
      <c r="M30" s="83" t="s">
        <v>38</v>
      </c>
      <c r="N30" s="87" t="s">
        <v>839</v>
      </c>
      <c r="O30" s="83" t="s">
        <v>827</v>
      </c>
    </row>
    <row r="31" spans="1:15" ht="54">
      <c r="A31" s="81">
        <f t="shared" si="0"/>
        <v>30</v>
      </c>
      <c r="B31" s="82" t="s">
        <v>861</v>
      </c>
      <c r="C31" s="83" t="s">
        <v>25</v>
      </c>
      <c r="D31" s="83" t="s">
        <v>17</v>
      </c>
      <c r="E31" s="84">
        <v>12</v>
      </c>
      <c r="F31" s="88">
        <f>893*1.23</f>
        <v>1098.3899999999999</v>
      </c>
      <c r="G31" s="83" t="s">
        <v>18</v>
      </c>
      <c r="H31" s="83" t="s">
        <v>838</v>
      </c>
      <c r="I31" s="85">
        <f>Planejamento2024[[#This Row],[Qnt de Itens]]*Planejamento2024[[#This Row],[Valor unitário]]</f>
        <v>13180.679999999998</v>
      </c>
      <c r="J31" s="83" t="s">
        <v>38</v>
      </c>
      <c r="K31" s="83" t="s">
        <v>415</v>
      </c>
      <c r="L31" s="86">
        <v>45446</v>
      </c>
      <c r="M31" s="83" t="s">
        <v>38</v>
      </c>
      <c r="N31" s="87" t="s">
        <v>839</v>
      </c>
      <c r="O31" s="83" t="s">
        <v>827</v>
      </c>
    </row>
    <row r="32" spans="1:15" ht="63">
      <c r="A32" s="81">
        <f t="shared" si="0"/>
        <v>31</v>
      </c>
      <c r="B32" s="82" t="s">
        <v>862</v>
      </c>
      <c r="C32" s="83" t="s">
        <v>25</v>
      </c>
      <c r="D32" s="83" t="s">
        <v>17</v>
      </c>
      <c r="E32" s="84">
        <v>12</v>
      </c>
      <c r="F32" s="88">
        <f>3787*1.23</f>
        <v>4658.01</v>
      </c>
      <c r="G32" s="83" t="s">
        <v>18</v>
      </c>
      <c r="H32" s="83" t="s">
        <v>838</v>
      </c>
      <c r="I32" s="85">
        <f>Planejamento2024[[#This Row],[Qnt de Itens]]*Planejamento2024[[#This Row],[Valor unitário]]</f>
        <v>55896.12</v>
      </c>
      <c r="J32" s="83" t="s">
        <v>38</v>
      </c>
      <c r="K32" s="83" t="s">
        <v>415</v>
      </c>
      <c r="L32" s="86">
        <v>45446</v>
      </c>
      <c r="M32" s="83" t="s">
        <v>38</v>
      </c>
      <c r="N32" s="87" t="s">
        <v>839</v>
      </c>
      <c r="O32" s="83" t="s">
        <v>827</v>
      </c>
    </row>
    <row r="33" spans="1:15" ht="45">
      <c r="A33" s="81">
        <f t="shared" si="0"/>
        <v>32</v>
      </c>
      <c r="B33" s="82" t="s">
        <v>863</v>
      </c>
      <c r="C33" s="83" t="s">
        <v>25</v>
      </c>
      <c r="D33" s="83" t="s">
        <v>17</v>
      </c>
      <c r="E33" s="84">
        <v>12</v>
      </c>
      <c r="F33" s="88">
        <f>210*1.23</f>
        <v>258.3</v>
      </c>
      <c r="G33" s="83" t="s">
        <v>18</v>
      </c>
      <c r="H33" s="83" t="s">
        <v>838</v>
      </c>
      <c r="I33" s="85">
        <f>Planejamento2024[[#This Row],[Qnt de Itens]]*Planejamento2024[[#This Row],[Valor unitário]]</f>
        <v>3099.6000000000004</v>
      </c>
      <c r="J33" s="83" t="s">
        <v>38</v>
      </c>
      <c r="K33" s="83" t="s">
        <v>415</v>
      </c>
      <c r="L33" s="86">
        <v>45446</v>
      </c>
      <c r="M33" s="83" t="s">
        <v>38</v>
      </c>
      <c r="N33" s="87" t="s">
        <v>839</v>
      </c>
      <c r="O33" s="83" t="s">
        <v>827</v>
      </c>
    </row>
    <row r="34" spans="1:15" ht="90">
      <c r="A34" s="81">
        <f t="shared" si="0"/>
        <v>33</v>
      </c>
      <c r="B34" s="82" t="s">
        <v>864</v>
      </c>
      <c r="C34" s="83" t="s">
        <v>25</v>
      </c>
      <c r="D34" s="83" t="s">
        <v>17</v>
      </c>
      <c r="E34" s="84">
        <v>12</v>
      </c>
      <c r="F34" s="88">
        <f>456*1.23</f>
        <v>560.88</v>
      </c>
      <c r="G34" s="83" t="s">
        <v>18</v>
      </c>
      <c r="H34" s="83" t="s">
        <v>838</v>
      </c>
      <c r="I34" s="85">
        <f>Planejamento2024[[#This Row],[Qnt de Itens]]*Planejamento2024[[#This Row],[Valor unitário]]</f>
        <v>6730.5599999999995</v>
      </c>
      <c r="J34" s="83" t="s">
        <v>38</v>
      </c>
      <c r="K34" s="83" t="s">
        <v>415</v>
      </c>
      <c r="L34" s="86">
        <v>45446</v>
      </c>
      <c r="M34" s="83" t="s">
        <v>38</v>
      </c>
      <c r="N34" s="87" t="s">
        <v>839</v>
      </c>
      <c r="O34" s="83" t="s">
        <v>827</v>
      </c>
    </row>
    <row r="35" spans="1:15" ht="72">
      <c r="A35" s="81">
        <f t="shared" si="0"/>
        <v>34</v>
      </c>
      <c r="B35" s="82" t="s">
        <v>865</v>
      </c>
      <c r="C35" s="83" t="s">
        <v>25</v>
      </c>
      <c r="D35" s="83" t="s">
        <v>17</v>
      </c>
      <c r="E35" s="84">
        <v>12</v>
      </c>
      <c r="F35" s="88">
        <f>4490*1.23</f>
        <v>5522.7</v>
      </c>
      <c r="G35" s="83" t="s">
        <v>18</v>
      </c>
      <c r="H35" s="83" t="s">
        <v>838</v>
      </c>
      <c r="I35" s="85">
        <f>Planejamento2024[[#This Row],[Qnt de Itens]]*Planejamento2024[[#This Row],[Valor unitário]]</f>
        <v>66272.399999999994</v>
      </c>
      <c r="J35" s="83" t="s">
        <v>38</v>
      </c>
      <c r="K35" s="83" t="s">
        <v>415</v>
      </c>
      <c r="L35" s="86">
        <v>45446</v>
      </c>
      <c r="M35" s="83" t="s">
        <v>38</v>
      </c>
      <c r="N35" s="87" t="s">
        <v>839</v>
      </c>
      <c r="O35" s="83" t="s">
        <v>827</v>
      </c>
    </row>
    <row r="36" spans="1:15" ht="54">
      <c r="A36" s="81">
        <f t="shared" si="0"/>
        <v>35</v>
      </c>
      <c r="B36" s="82" t="s">
        <v>866</v>
      </c>
      <c r="C36" s="83" t="s">
        <v>25</v>
      </c>
      <c r="D36" s="83" t="s">
        <v>17</v>
      </c>
      <c r="E36" s="84">
        <v>12</v>
      </c>
      <c r="F36" s="88">
        <f>4623*1.23</f>
        <v>5686.29</v>
      </c>
      <c r="G36" s="83" t="s">
        <v>18</v>
      </c>
      <c r="H36" s="83" t="s">
        <v>838</v>
      </c>
      <c r="I36" s="85">
        <f>Planejamento2024[[#This Row],[Qnt de Itens]]*Planejamento2024[[#This Row],[Valor unitário]]</f>
        <v>68235.48</v>
      </c>
      <c r="J36" s="83" t="s">
        <v>38</v>
      </c>
      <c r="K36" s="83" t="s">
        <v>415</v>
      </c>
      <c r="L36" s="86">
        <v>45446</v>
      </c>
      <c r="M36" s="83" t="s">
        <v>38</v>
      </c>
      <c r="N36" s="87" t="s">
        <v>839</v>
      </c>
      <c r="O36" s="83" t="s">
        <v>827</v>
      </c>
    </row>
    <row r="37" spans="1:15" ht="63">
      <c r="A37" s="81">
        <f t="shared" si="0"/>
        <v>36</v>
      </c>
      <c r="B37" s="82" t="s">
        <v>867</v>
      </c>
      <c r="C37" s="83" t="s">
        <v>25</v>
      </c>
      <c r="D37" s="83" t="s">
        <v>17</v>
      </c>
      <c r="E37" s="84">
        <v>12</v>
      </c>
      <c r="F37" s="88">
        <f>649*1.23</f>
        <v>798.27</v>
      </c>
      <c r="G37" s="83" t="s">
        <v>18</v>
      </c>
      <c r="H37" s="83" t="s">
        <v>838</v>
      </c>
      <c r="I37" s="88">
        <f>Planejamento2024[[#This Row],[Qnt de Itens]]*Planejamento2024[[#This Row],[Valor unitário]]</f>
        <v>9579.24</v>
      </c>
      <c r="J37" s="83" t="s">
        <v>38</v>
      </c>
      <c r="K37" s="83" t="s">
        <v>415</v>
      </c>
      <c r="L37" s="86">
        <v>45446</v>
      </c>
      <c r="M37" s="83" t="s">
        <v>38</v>
      </c>
      <c r="N37" s="87" t="s">
        <v>839</v>
      </c>
      <c r="O37" s="83" t="s">
        <v>827</v>
      </c>
    </row>
    <row r="38" spans="1:15" ht="54">
      <c r="A38" s="81">
        <f t="shared" si="0"/>
        <v>37</v>
      </c>
      <c r="B38" s="82" t="s">
        <v>868</v>
      </c>
      <c r="C38" s="83" t="s">
        <v>25</v>
      </c>
      <c r="D38" s="83" t="s">
        <v>17</v>
      </c>
      <c r="E38" s="84">
        <v>12</v>
      </c>
      <c r="F38" s="88">
        <f>250*1.23</f>
        <v>307.5</v>
      </c>
      <c r="G38" s="83" t="s">
        <v>18</v>
      </c>
      <c r="H38" s="83" t="s">
        <v>838</v>
      </c>
      <c r="I38" s="85">
        <f>Planejamento2024[[#This Row],[Qnt de Itens]]*Planejamento2024[[#This Row],[Valor unitário]]</f>
        <v>3690</v>
      </c>
      <c r="J38" s="83" t="s">
        <v>38</v>
      </c>
      <c r="K38" s="83" t="s">
        <v>415</v>
      </c>
      <c r="L38" s="86">
        <v>45446</v>
      </c>
      <c r="M38" s="83" t="s">
        <v>38</v>
      </c>
      <c r="N38" s="87" t="s">
        <v>839</v>
      </c>
      <c r="O38" s="83" t="s">
        <v>827</v>
      </c>
    </row>
    <row r="39" spans="1:15" ht="54">
      <c r="A39" s="81">
        <f t="shared" si="0"/>
        <v>38</v>
      </c>
      <c r="B39" s="82" t="s">
        <v>869</v>
      </c>
      <c r="C39" s="83" t="s">
        <v>25</v>
      </c>
      <c r="D39" s="83" t="s">
        <v>17</v>
      </c>
      <c r="E39" s="84">
        <v>12</v>
      </c>
      <c r="F39" s="88">
        <f>169*1.23</f>
        <v>207.87</v>
      </c>
      <c r="G39" s="83" t="s">
        <v>18</v>
      </c>
      <c r="H39" s="83" t="s">
        <v>838</v>
      </c>
      <c r="I39" s="85">
        <f>Planejamento2024[[#This Row],[Qnt de Itens]]*Planejamento2024[[#This Row],[Valor unitário]]</f>
        <v>2494.44</v>
      </c>
      <c r="J39" s="83" t="s">
        <v>38</v>
      </c>
      <c r="K39" s="83" t="s">
        <v>415</v>
      </c>
      <c r="L39" s="86">
        <v>45446</v>
      </c>
      <c r="M39" s="83" t="s">
        <v>38</v>
      </c>
      <c r="N39" s="87" t="s">
        <v>839</v>
      </c>
      <c r="O39" s="83" t="s">
        <v>827</v>
      </c>
    </row>
    <row r="40" spans="1:15" ht="54">
      <c r="A40" s="81">
        <f t="shared" si="0"/>
        <v>39</v>
      </c>
      <c r="B40" s="82" t="s">
        <v>870</v>
      </c>
      <c r="C40" s="83" t="s">
        <v>25</v>
      </c>
      <c r="D40" s="83" t="s">
        <v>17</v>
      </c>
      <c r="E40" s="84">
        <v>12</v>
      </c>
      <c r="F40" s="88">
        <f>126*1.23</f>
        <v>154.97999999999999</v>
      </c>
      <c r="G40" s="83" t="s">
        <v>18</v>
      </c>
      <c r="H40" s="83" t="s">
        <v>838</v>
      </c>
      <c r="I40" s="85">
        <f>Planejamento2024[[#This Row],[Qnt de Itens]]*Planejamento2024[[#This Row],[Valor unitário]]</f>
        <v>1859.7599999999998</v>
      </c>
      <c r="J40" s="83" t="s">
        <v>38</v>
      </c>
      <c r="K40" s="83" t="s">
        <v>415</v>
      </c>
      <c r="L40" s="86">
        <v>45446</v>
      </c>
      <c r="M40" s="83" t="s">
        <v>38</v>
      </c>
      <c r="N40" s="87" t="s">
        <v>839</v>
      </c>
      <c r="O40" s="83" t="s">
        <v>827</v>
      </c>
    </row>
    <row r="41" spans="1:15" ht="72">
      <c r="A41" s="81">
        <f t="shared" si="0"/>
        <v>40</v>
      </c>
      <c r="B41" s="82" t="s">
        <v>871</v>
      </c>
      <c r="C41" s="83" t="s">
        <v>25</v>
      </c>
      <c r="D41" s="83" t="s">
        <v>17</v>
      </c>
      <c r="E41" s="84">
        <v>12</v>
      </c>
      <c r="F41" s="88">
        <f>420*1.23</f>
        <v>516.6</v>
      </c>
      <c r="G41" s="83" t="s">
        <v>18</v>
      </c>
      <c r="H41" s="83" t="s">
        <v>838</v>
      </c>
      <c r="I41" s="85">
        <f>Planejamento2024[[#This Row],[Qnt de Itens]]*Planejamento2024[[#This Row],[Valor unitário]]</f>
        <v>6199.2000000000007</v>
      </c>
      <c r="J41" s="83" t="s">
        <v>38</v>
      </c>
      <c r="K41" s="83" t="s">
        <v>415</v>
      </c>
      <c r="L41" s="86">
        <v>45446</v>
      </c>
      <c r="M41" s="83" t="s">
        <v>38</v>
      </c>
      <c r="N41" s="87" t="s">
        <v>839</v>
      </c>
      <c r="O41" s="83" t="s">
        <v>827</v>
      </c>
    </row>
    <row r="42" spans="1:15" ht="63">
      <c r="A42" s="81">
        <f t="shared" si="0"/>
        <v>41</v>
      </c>
      <c r="B42" s="82" t="s">
        <v>872</v>
      </c>
      <c r="C42" s="83" t="s">
        <v>25</v>
      </c>
      <c r="D42" s="83" t="s">
        <v>17</v>
      </c>
      <c r="E42" s="84">
        <v>12</v>
      </c>
      <c r="F42" s="88">
        <f>123*1.23</f>
        <v>151.29</v>
      </c>
      <c r="G42" s="83" t="s">
        <v>18</v>
      </c>
      <c r="H42" s="83" t="s">
        <v>838</v>
      </c>
      <c r="I42" s="85">
        <f>Planejamento2024[[#This Row],[Qnt de Itens]]*Planejamento2024[[#This Row],[Valor unitário]]</f>
        <v>1815.48</v>
      </c>
      <c r="J42" s="83" t="s">
        <v>38</v>
      </c>
      <c r="K42" s="83" t="s">
        <v>415</v>
      </c>
      <c r="L42" s="86">
        <v>45446</v>
      </c>
      <c r="M42" s="83" t="s">
        <v>38</v>
      </c>
      <c r="N42" s="87" t="s">
        <v>839</v>
      </c>
      <c r="O42" s="83" t="s">
        <v>827</v>
      </c>
    </row>
    <row r="43" spans="1:15" ht="54">
      <c r="A43" s="81">
        <f t="shared" si="0"/>
        <v>42</v>
      </c>
      <c r="B43" s="82" t="s">
        <v>873</v>
      </c>
      <c r="C43" s="83" t="s">
        <v>25</v>
      </c>
      <c r="D43" s="83" t="s">
        <v>17</v>
      </c>
      <c r="E43" s="84">
        <v>12</v>
      </c>
      <c r="F43" s="88">
        <f>186*1.23</f>
        <v>228.78</v>
      </c>
      <c r="G43" s="83" t="s">
        <v>18</v>
      </c>
      <c r="H43" s="83" t="s">
        <v>838</v>
      </c>
      <c r="I43" s="88">
        <f>Planejamento2024[[#This Row],[Qnt de Itens]]*Planejamento2024[[#This Row],[Valor unitário]]</f>
        <v>2745.36</v>
      </c>
      <c r="J43" s="83" t="s">
        <v>38</v>
      </c>
      <c r="K43" s="83" t="s">
        <v>415</v>
      </c>
      <c r="L43" s="86">
        <v>45446</v>
      </c>
      <c r="M43" s="83" t="s">
        <v>38</v>
      </c>
      <c r="N43" s="87" t="s">
        <v>839</v>
      </c>
      <c r="O43" s="83" t="s">
        <v>827</v>
      </c>
    </row>
    <row r="44" spans="1:15" ht="72">
      <c r="A44" s="81">
        <f t="shared" si="0"/>
        <v>43</v>
      </c>
      <c r="B44" s="82" t="s">
        <v>874</v>
      </c>
      <c r="C44" s="83" t="s">
        <v>25</v>
      </c>
      <c r="D44" s="83" t="s">
        <v>17</v>
      </c>
      <c r="E44" s="84">
        <v>12</v>
      </c>
      <c r="F44" s="88">
        <f>370*1.23</f>
        <v>455.09999999999997</v>
      </c>
      <c r="G44" s="83" t="s">
        <v>18</v>
      </c>
      <c r="H44" s="83" t="s">
        <v>838</v>
      </c>
      <c r="I44" s="85">
        <f>Planejamento2024[[#This Row],[Qnt de Itens]]*Planejamento2024[[#This Row],[Valor unitário]]</f>
        <v>5461.2</v>
      </c>
      <c r="J44" s="83" t="s">
        <v>38</v>
      </c>
      <c r="K44" s="83" t="s">
        <v>415</v>
      </c>
      <c r="L44" s="86">
        <v>45446</v>
      </c>
      <c r="M44" s="83" t="s">
        <v>38</v>
      </c>
      <c r="N44" s="87" t="s">
        <v>839</v>
      </c>
      <c r="O44" s="83" t="s">
        <v>827</v>
      </c>
    </row>
    <row r="45" spans="1:15" ht="72">
      <c r="A45" s="81">
        <f t="shared" si="0"/>
        <v>44</v>
      </c>
      <c r="B45" s="82" t="s">
        <v>875</v>
      </c>
      <c r="C45" s="83" t="s">
        <v>25</v>
      </c>
      <c r="D45" s="83" t="s">
        <v>17</v>
      </c>
      <c r="E45" s="84">
        <v>12</v>
      </c>
      <c r="F45" s="88">
        <f>1026*1.23</f>
        <v>1261.98</v>
      </c>
      <c r="G45" s="83" t="s">
        <v>18</v>
      </c>
      <c r="H45" s="83" t="s">
        <v>838</v>
      </c>
      <c r="I45" s="85">
        <f>Planejamento2024[[#This Row],[Qnt de Itens]]*Planejamento2024[[#This Row],[Valor unitário]]</f>
        <v>15143.76</v>
      </c>
      <c r="J45" s="83" t="s">
        <v>38</v>
      </c>
      <c r="K45" s="83" t="s">
        <v>415</v>
      </c>
      <c r="L45" s="86">
        <v>45446</v>
      </c>
      <c r="M45" s="83" t="s">
        <v>38</v>
      </c>
      <c r="N45" s="87" t="s">
        <v>839</v>
      </c>
      <c r="O45" s="83" t="s">
        <v>827</v>
      </c>
    </row>
    <row r="46" spans="1:15" ht="63">
      <c r="A46" s="81">
        <f t="shared" si="0"/>
        <v>45</v>
      </c>
      <c r="B46" s="82" t="s">
        <v>876</v>
      </c>
      <c r="C46" s="83" t="s">
        <v>25</v>
      </c>
      <c r="D46" s="83" t="s">
        <v>17</v>
      </c>
      <c r="E46" s="84">
        <v>12</v>
      </c>
      <c r="F46" s="88">
        <f>987*1.23</f>
        <v>1214.01</v>
      </c>
      <c r="G46" s="83" t="s">
        <v>18</v>
      </c>
      <c r="H46" s="83" t="s">
        <v>838</v>
      </c>
      <c r="I46" s="85">
        <f>Planejamento2024[[#This Row],[Qnt de Itens]]*Planejamento2024[[#This Row],[Valor unitário]]</f>
        <v>14568.119999999999</v>
      </c>
      <c r="J46" s="83" t="s">
        <v>38</v>
      </c>
      <c r="K46" s="83" t="s">
        <v>415</v>
      </c>
      <c r="L46" s="86">
        <v>45446</v>
      </c>
      <c r="M46" s="83" t="s">
        <v>38</v>
      </c>
      <c r="N46" s="87" t="s">
        <v>839</v>
      </c>
      <c r="O46" s="83" t="s">
        <v>827</v>
      </c>
    </row>
    <row r="47" spans="1:15" ht="63">
      <c r="A47" s="81">
        <f t="shared" si="0"/>
        <v>46</v>
      </c>
      <c r="B47" s="82" t="s">
        <v>877</v>
      </c>
      <c r="C47" s="83" t="s">
        <v>25</v>
      </c>
      <c r="D47" s="83" t="s">
        <v>17</v>
      </c>
      <c r="E47" s="84">
        <v>12</v>
      </c>
      <c r="F47" s="88">
        <f>2145*1.23</f>
        <v>2638.35</v>
      </c>
      <c r="G47" s="83" t="s">
        <v>18</v>
      </c>
      <c r="H47" s="83" t="s">
        <v>838</v>
      </c>
      <c r="I47" s="85">
        <f>Planejamento2024[[#This Row],[Qnt de Itens]]*Planejamento2024[[#This Row],[Valor unitário]]</f>
        <v>31660.199999999997</v>
      </c>
      <c r="J47" s="83" t="s">
        <v>38</v>
      </c>
      <c r="K47" s="83" t="s">
        <v>415</v>
      </c>
      <c r="L47" s="86">
        <v>45446</v>
      </c>
      <c r="M47" s="83" t="s">
        <v>38</v>
      </c>
      <c r="N47" s="87" t="s">
        <v>839</v>
      </c>
      <c r="O47" s="83" t="s">
        <v>827</v>
      </c>
    </row>
    <row r="48" spans="1:15" ht="63">
      <c r="A48" s="81">
        <f t="shared" si="0"/>
        <v>47</v>
      </c>
      <c r="B48" s="82" t="s">
        <v>878</v>
      </c>
      <c r="C48" s="83" t="s">
        <v>25</v>
      </c>
      <c r="D48" s="83" t="s">
        <v>17</v>
      </c>
      <c r="E48" s="84">
        <v>12</v>
      </c>
      <c r="F48" s="88">
        <f>144*1.23</f>
        <v>177.12</v>
      </c>
      <c r="G48" s="83" t="s">
        <v>18</v>
      </c>
      <c r="H48" s="83" t="s">
        <v>838</v>
      </c>
      <c r="I48" s="85">
        <f>Planejamento2024[[#This Row],[Qnt de Itens]]*Planejamento2024[[#This Row],[Valor unitário]]</f>
        <v>2125.44</v>
      </c>
      <c r="J48" s="83" t="s">
        <v>38</v>
      </c>
      <c r="K48" s="83" t="s">
        <v>415</v>
      </c>
      <c r="L48" s="86">
        <v>45446</v>
      </c>
      <c r="M48" s="83" t="s">
        <v>38</v>
      </c>
      <c r="N48" s="87" t="s">
        <v>839</v>
      </c>
      <c r="O48" s="83" t="s">
        <v>827</v>
      </c>
    </row>
    <row r="49" spans="1:15" ht="63">
      <c r="A49" s="81">
        <f t="shared" si="0"/>
        <v>48</v>
      </c>
      <c r="B49" s="82" t="s">
        <v>879</v>
      </c>
      <c r="C49" s="83" t="s">
        <v>25</v>
      </c>
      <c r="D49" s="83" t="s">
        <v>17</v>
      </c>
      <c r="E49" s="84">
        <v>12</v>
      </c>
      <c r="F49" s="88">
        <f>663*1.23</f>
        <v>815.49</v>
      </c>
      <c r="G49" s="83" t="s">
        <v>18</v>
      </c>
      <c r="H49" s="83" t="s">
        <v>838</v>
      </c>
      <c r="I49" s="85">
        <f>Planejamento2024[[#This Row],[Qnt de Itens]]*Planejamento2024[[#This Row],[Valor unitário]]</f>
        <v>9785.880000000001</v>
      </c>
      <c r="J49" s="83" t="s">
        <v>38</v>
      </c>
      <c r="K49" s="83" t="s">
        <v>415</v>
      </c>
      <c r="L49" s="86">
        <v>45446</v>
      </c>
      <c r="M49" s="83" t="s">
        <v>38</v>
      </c>
      <c r="N49" s="87" t="s">
        <v>839</v>
      </c>
      <c r="O49" s="83" t="s">
        <v>827</v>
      </c>
    </row>
    <row r="50" spans="1:15" ht="45">
      <c r="A50" s="81">
        <f t="shared" si="0"/>
        <v>49</v>
      </c>
      <c r="B50" s="82" t="s">
        <v>880</v>
      </c>
      <c r="C50" s="83" t="s">
        <v>25</v>
      </c>
      <c r="D50" s="83" t="s">
        <v>17</v>
      </c>
      <c r="E50" s="84">
        <v>12</v>
      </c>
      <c r="F50" s="88">
        <f>531*1.23</f>
        <v>653.13</v>
      </c>
      <c r="G50" s="83" t="s">
        <v>18</v>
      </c>
      <c r="H50" s="83" t="s">
        <v>838</v>
      </c>
      <c r="I50" s="85">
        <f>Planejamento2024[[#This Row],[Qnt de Itens]]*Planejamento2024[[#This Row],[Valor unitário]]</f>
        <v>7837.5599999999995</v>
      </c>
      <c r="J50" s="83" t="s">
        <v>38</v>
      </c>
      <c r="K50" s="83" t="s">
        <v>415</v>
      </c>
      <c r="L50" s="86">
        <v>45446</v>
      </c>
      <c r="M50" s="83" t="s">
        <v>38</v>
      </c>
      <c r="N50" s="87" t="s">
        <v>839</v>
      </c>
      <c r="O50" s="83" t="s">
        <v>827</v>
      </c>
    </row>
    <row r="51" spans="1:15" ht="45">
      <c r="A51" s="81">
        <f t="shared" si="0"/>
        <v>50</v>
      </c>
      <c r="B51" s="82" t="s">
        <v>881</v>
      </c>
      <c r="C51" s="83" t="s">
        <v>25</v>
      </c>
      <c r="D51" s="83" t="s">
        <v>17</v>
      </c>
      <c r="E51" s="84">
        <v>12</v>
      </c>
      <c r="F51" s="88">
        <f>320*1.23</f>
        <v>393.6</v>
      </c>
      <c r="G51" s="83" t="s">
        <v>18</v>
      </c>
      <c r="H51" s="83" t="s">
        <v>838</v>
      </c>
      <c r="I51" s="85">
        <f>Planejamento2024[[#This Row],[Qnt de Itens]]*Planejamento2024[[#This Row],[Valor unitário]]</f>
        <v>4723.2000000000007</v>
      </c>
      <c r="J51" s="83" t="s">
        <v>38</v>
      </c>
      <c r="K51" s="83" t="s">
        <v>415</v>
      </c>
      <c r="L51" s="86">
        <v>45446</v>
      </c>
      <c r="M51" s="83" t="s">
        <v>38</v>
      </c>
      <c r="N51" s="87" t="s">
        <v>839</v>
      </c>
      <c r="O51" s="83" t="s">
        <v>827</v>
      </c>
    </row>
    <row r="52" spans="1:15" ht="72">
      <c r="A52" s="81">
        <f t="shared" si="0"/>
        <v>51</v>
      </c>
      <c r="B52" s="82" t="s">
        <v>882</v>
      </c>
      <c r="C52" s="83" t="s">
        <v>25</v>
      </c>
      <c r="D52" s="83" t="s">
        <v>17</v>
      </c>
      <c r="E52" s="84">
        <v>12</v>
      </c>
      <c r="F52" s="88">
        <f>492.5*1.23</f>
        <v>605.77499999999998</v>
      </c>
      <c r="G52" s="83" t="s">
        <v>18</v>
      </c>
      <c r="H52" s="83" t="s">
        <v>838</v>
      </c>
      <c r="I52" s="85">
        <f>Planejamento2024[[#This Row],[Qnt de Itens]]*Planejamento2024[[#This Row],[Valor unitário]]</f>
        <v>7269.2999999999993</v>
      </c>
      <c r="J52" s="83" t="s">
        <v>38</v>
      </c>
      <c r="K52" s="83" t="s">
        <v>415</v>
      </c>
      <c r="L52" s="86">
        <v>45446</v>
      </c>
      <c r="M52" s="83" t="s">
        <v>38</v>
      </c>
      <c r="N52" s="87" t="s">
        <v>839</v>
      </c>
      <c r="O52" s="83" t="s">
        <v>827</v>
      </c>
    </row>
    <row r="53" spans="1:15" ht="45">
      <c r="A53" s="81">
        <f t="shared" si="0"/>
        <v>52</v>
      </c>
      <c r="B53" s="82" t="s">
        <v>883</v>
      </c>
      <c r="C53" s="83" t="s">
        <v>25</v>
      </c>
      <c r="D53" s="83" t="s">
        <v>17</v>
      </c>
      <c r="E53" s="84">
        <v>12</v>
      </c>
      <c r="F53" s="88">
        <f>2525*1.23</f>
        <v>3105.75</v>
      </c>
      <c r="G53" s="83" t="s">
        <v>18</v>
      </c>
      <c r="H53" s="83" t="s">
        <v>838</v>
      </c>
      <c r="I53" s="85">
        <f>Planejamento2024[[#This Row],[Qnt de Itens]]*Planejamento2024[[#This Row],[Valor unitário]]</f>
        <v>37269</v>
      </c>
      <c r="J53" s="83" t="s">
        <v>38</v>
      </c>
      <c r="K53" s="83" t="s">
        <v>415</v>
      </c>
      <c r="L53" s="86">
        <v>45446</v>
      </c>
      <c r="M53" s="83" t="s">
        <v>38</v>
      </c>
      <c r="N53" s="87" t="s">
        <v>839</v>
      </c>
      <c r="O53" s="83" t="s">
        <v>827</v>
      </c>
    </row>
    <row r="54" spans="1:15" ht="18">
      <c r="A54" s="81">
        <f t="shared" si="0"/>
        <v>53</v>
      </c>
      <c r="B54" s="82" t="s">
        <v>884</v>
      </c>
      <c r="C54" s="83" t="s">
        <v>34</v>
      </c>
      <c r="D54" s="83" t="s">
        <v>35</v>
      </c>
      <c r="E54" s="84">
        <v>430</v>
      </c>
      <c r="F54" s="85">
        <v>6.07</v>
      </c>
      <c r="G54" s="83" t="s">
        <v>885</v>
      </c>
      <c r="H54" s="83" t="s">
        <v>886</v>
      </c>
      <c r="I54" s="85">
        <f>Planejamento2024[[#This Row],[Qnt de Itens]]*Planejamento2024[[#This Row],[Valor unitário]]</f>
        <v>2610.1</v>
      </c>
      <c r="J54" s="83" t="s">
        <v>20</v>
      </c>
      <c r="K54" s="83" t="s">
        <v>415</v>
      </c>
      <c r="L54" s="86">
        <v>45292</v>
      </c>
      <c r="M54" s="83" t="s">
        <v>20</v>
      </c>
      <c r="N54" s="87" t="s">
        <v>887</v>
      </c>
      <c r="O54" s="83" t="s">
        <v>827</v>
      </c>
    </row>
    <row r="55" spans="1:15" ht="18">
      <c r="A55" s="81">
        <f t="shared" si="0"/>
        <v>54</v>
      </c>
      <c r="B55" s="82" t="s">
        <v>888</v>
      </c>
      <c r="C55" s="83" t="s">
        <v>34</v>
      </c>
      <c r="D55" s="83" t="s">
        <v>35</v>
      </c>
      <c r="E55" s="84">
        <v>10</v>
      </c>
      <c r="F55" s="85">
        <v>117.25</v>
      </c>
      <c r="G55" s="83" t="s">
        <v>834</v>
      </c>
      <c r="H55" s="83" t="s">
        <v>886</v>
      </c>
      <c r="I55" s="85">
        <f>Planejamento2024[[#This Row],[Qnt de Itens]]*Planejamento2024[[#This Row],[Valor unitário]]</f>
        <v>1172.5</v>
      </c>
      <c r="J55" s="83" t="s">
        <v>20</v>
      </c>
      <c r="K55" s="83" t="s">
        <v>415</v>
      </c>
      <c r="L55" s="86">
        <v>45292</v>
      </c>
      <c r="M55" s="83" t="s">
        <v>20</v>
      </c>
      <c r="N55" s="87" t="s">
        <v>836</v>
      </c>
      <c r="O55" s="83" t="s">
        <v>827</v>
      </c>
    </row>
    <row r="56" spans="1:15" ht="18">
      <c r="A56" s="81">
        <f t="shared" si="0"/>
        <v>55</v>
      </c>
      <c r="B56" s="82" t="s">
        <v>889</v>
      </c>
      <c r="C56" s="83" t="s">
        <v>34</v>
      </c>
      <c r="D56" s="83" t="s">
        <v>35</v>
      </c>
      <c r="E56" s="84">
        <v>528</v>
      </c>
      <c r="F56" s="85">
        <v>20.76</v>
      </c>
      <c r="G56" s="83" t="s">
        <v>890</v>
      </c>
      <c r="H56" s="83" t="s">
        <v>886</v>
      </c>
      <c r="I56" s="85">
        <f>Planejamento2024[[#This Row],[Qnt de Itens]]*Planejamento2024[[#This Row],[Valor unitário]]</f>
        <v>10961.28</v>
      </c>
      <c r="J56" s="83" t="s">
        <v>20</v>
      </c>
      <c r="K56" s="83" t="s">
        <v>415</v>
      </c>
      <c r="L56" s="86">
        <v>45366</v>
      </c>
      <c r="M56" s="83" t="s">
        <v>20</v>
      </c>
      <c r="N56" s="87" t="s">
        <v>891</v>
      </c>
      <c r="O56" s="83" t="s">
        <v>827</v>
      </c>
    </row>
    <row r="57" spans="1:15" ht="18">
      <c r="A57" s="81">
        <f t="shared" si="0"/>
        <v>56</v>
      </c>
      <c r="B57" s="89" t="s">
        <v>892</v>
      </c>
      <c r="C57" s="83" t="s">
        <v>34</v>
      </c>
      <c r="D57" s="83" t="s">
        <v>35</v>
      </c>
      <c r="E57" s="84">
        <v>150</v>
      </c>
      <c r="F57" s="85"/>
      <c r="G57" s="83" t="s">
        <v>885</v>
      </c>
      <c r="H57" s="83" t="s">
        <v>893</v>
      </c>
      <c r="I57" s="85">
        <f>Planejamento2024[[#This Row],[Qnt de Itens]]*Planejamento2024[[#This Row],[Valor unitário]]</f>
        <v>0</v>
      </c>
      <c r="J57" s="83" t="s">
        <v>20</v>
      </c>
      <c r="K57" s="83" t="s">
        <v>415</v>
      </c>
      <c r="L57" s="86">
        <v>45292</v>
      </c>
      <c r="M57" s="83" t="s">
        <v>20</v>
      </c>
      <c r="N57" s="87"/>
      <c r="O57" s="83" t="s">
        <v>827</v>
      </c>
    </row>
    <row r="58" spans="1:15" ht="27">
      <c r="A58" s="81">
        <f t="shared" si="0"/>
        <v>57</v>
      </c>
      <c r="B58" s="90" t="s">
        <v>894</v>
      </c>
      <c r="C58" s="83" t="s">
        <v>34</v>
      </c>
      <c r="D58" s="83" t="s">
        <v>35</v>
      </c>
      <c r="E58" s="84">
        <v>15</v>
      </c>
      <c r="F58" s="85"/>
      <c r="G58" s="83" t="s">
        <v>81</v>
      </c>
      <c r="H58" s="83" t="s">
        <v>893</v>
      </c>
      <c r="I58" s="85">
        <f>Planejamento2024[[#This Row],[Qnt de Itens]]*Planejamento2024[[#This Row],[Valor unitário]]</f>
        <v>0</v>
      </c>
      <c r="J58" s="83" t="s">
        <v>20</v>
      </c>
      <c r="K58" s="83" t="s">
        <v>415</v>
      </c>
      <c r="L58" s="86">
        <v>45292</v>
      </c>
      <c r="M58" s="83" t="s">
        <v>20</v>
      </c>
      <c r="N58" s="87"/>
      <c r="O58" s="83" t="s">
        <v>827</v>
      </c>
    </row>
    <row r="59" spans="1:15" ht="18">
      <c r="A59" s="81">
        <f t="shared" si="0"/>
        <v>58</v>
      </c>
      <c r="B59" s="89" t="s">
        <v>895</v>
      </c>
      <c r="C59" s="83" t="s">
        <v>34</v>
      </c>
      <c r="D59" s="83" t="s">
        <v>35</v>
      </c>
      <c r="E59" s="84">
        <v>2000</v>
      </c>
      <c r="F59" s="85"/>
      <c r="G59" s="83" t="s">
        <v>885</v>
      </c>
      <c r="H59" s="83" t="s">
        <v>893</v>
      </c>
      <c r="I59" s="85">
        <f>Planejamento2024[[#This Row],[Qnt de Itens]]*Planejamento2024[[#This Row],[Valor unitário]]</f>
        <v>0</v>
      </c>
      <c r="J59" s="83" t="s">
        <v>20</v>
      </c>
      <c r="K59" s="83" t="s">
        <v>415</v>
      </c>
      <c r="L59" s="86">
        <v>45292</v>
      </c>
      <c r="M59" s="83" t="s">
        <v>20</v>
      </c>
      <c r="N59" s="87"/>
      <c r="O59" s="83" t="s">
        <v>827</v>
      </c>
    </row>
    <row r="60" spans="1:15" ht="18">
      <c r="A60" s="81">
        <f t="shared" si="0"/>
        <v>59</v>
      </c>
      <c r="B60" s="89" t="s">
        <v>896</v>
      </c>
      <c r="C60" s="83" t="s">
        <v>34</v>
      </c>
      <c r="D60" s="83" t="s">
        <v>35</v>
      </c>
      <c r="E60" s="84">
        <v>5</v>
      </c>
      <c r="F60" s="85"/>
      <c r="G60" s="83" t="s">
        <v>885</v>
      </c>
      <c r="H60" s="83" t="s">
        <v>893</v>
      </c>
      <c r="I60" s="85">
        <f>Planejamento2024[[#This Row],[Qnt de Itens]]*Planejamento2024[[#This Row],[Valor unitário]]</f>
        <v>0</v>
      </c>
      <c r="J60" s="83" t="s">
        <v>20</v>
      </c>
      <c r="K60" s="83" t="s">
        <v>415</v>
      </c>
      <c r="L60" s="86">
        <v>45292</v>
      </c>
      <c r="M60" s="83" t="s">
        <v>20</v>
      </c>
      <c r="N60" s="87"/>
      <c r="O60" s="83" t="s">
        <v>827</v>
      </c>
    </row>
    <row r="61" spans="1:15" ht="18">
      <c r="A61" s="81">
        <f t="shared" si="0"/>
        <v>60</v>
      </c>
      <c r="B61" s="89" t="s">
        <v>897</v>
      </c>
      <c r="C61" s="83" t="s">
        <v>34</v>
      </c>
      <c r="D61" s="83" t="s">
        <v>35</v>
      </c>
      <c r="E61" s="84">
        <v>200</v>
      </c>
      <c r="F61" s="85"/>
      <c r="G61" s="83" t="s">
        <v>885</v>
      </c>
      <c r="H61" s="83" t="s">
        <v>893</v>
      </c>
      <c r="I61" s="85">
        <f>Planejamento2024[[#This Row],[Qnt de Itens]]*Planejamento2024[[#This Row],[Valor unitário]]</f>
        <v>0</v>
      </c>
      <c r="J61" s="83" t="s">
        <v>20</v>
      </c>
      <c r="K61" s="83" t="s">
        <v>415</v>
      </c>
      <c r="L61" s="86">
        <v>45292</v>
      </c>
      <c r="M61" s="83" t="s">
        <v>20</v>
      </c>
      <c r="N61" s="87"/>
      <c r="O61" s="83" t="s">
        <v>827</v>
      </c>
    </row>
    <row r="62" spans="1:15" ht="18">
      <c r="A62" s="81">
        <f t="shared" si="0"/>
        <v>61</v>
      </c>
      <c r="B62" s="89" t="s">
        <v>898</v>
      </c>
      <c r="C62" s="83" t="s">
        <v>34</v>
      </c>
      <c r="D62" s="83" t="s">
        <v>35</v>
      </c>
      <c r="E62" s="84">
        <v>200</v>
      </c>
      <c r="F62" s="85"/>
      <c r="G62" s="83" t="s">
        <v>885</v>
      </c>
      <c r="H62" s="83" t="s">
        <v>893</v>
      </c>
      <c r="I62" s="85">
        <f>Planejamento2024[[#This Row],[Qnt de Itens]]*Planejamento2024[[#This Row],[Valor unitário]]</f>
        <v>0</v>
      </c>
      <c r="J62" s="83" t="s">
        <v>20</v>
      </c>
      <c r="K62" s="83" t="s">
        <v>415</v>
      </c>
      <c r="L62" s="86">
        <v>45292</v>
      </c>
      <c r="M62" s="83" t="s">
        <v>20</v>
      </c>
      <c r="N62" s="87"/>
      <c r="O62" s="83" t="s">
        <v>827</v>
      </c>
    </row>
    <row r="63" spans="1:15" ht="18">
      <c r="A63" s="81">
        <f t="shared" si="0"/>
        <v>62</v>
      </c>
      <c r="B63" s="89" t="s">
        <v>899</v>
      </c>
      <c r="C63" s="83" t="s">
        <v>34</v>
      </c>
      <c r="D63" s="83" t="s">
        <v>35</v>
      </c>
      <c r="E63" s="84">
        <v>100</v>
      </c>
      <c r="F63" s="85"/>
      <c r="G63" s="83" t="s">
        <v>885</v>
      </c>
      <c r="H63" s="83" t="s">
        <v>893</v>
      </c>
      <c r="I63" s="85">
        <f>Planejamento2024[[#This Row],[Qnt de Itens]]*Planejamento2024[[#This Row],[Valor unitário]]</f>
        <v>0</v>
      </c>
      <c r="J63" s="83" t="s">
        <v>20</v>
      </c>
      <c r="K63" s="83" t="s">
        <v>415</v>
      </c>
      <c r="L63" s="86">
        <v>45292</v>
      </c>
      <c r="M63" s="83" t="s">
        <v>20</v>
      </c>
      <c r="N63" s="87"/>
      <c r="O63" s="83" t="s">
        <v>827</v>
      </c>
    </row>
    <row r="64" spans="1:15" ht="27">
      <c r="A64" s="81">
        <f t="shared" si="0"/>
        <v>63</v>
      </c>
      <c r="B64" s="89" t="s">
        <v>900</v>
      </c>
      <c r="C64" s="83" t="s">
        <v>34</v>
      </c>
      <c r="D64" s="83" t="s">
        <v>35</v>
      </c>
      <c r="E64" s="84">
        <v>100</v>
      </c>
      <c r="F64" s="85"/>
      <c r="G64" s="83" t="s">
        <v>885</v>
      </c>
      <c r="H64" s="83" t="s">
        <v>893</v>
      </c>
      <c r="I64" s="85">
        <f>Planejamento2024[[#This Row],[Qnt de Itens]]*Planejamento2024[[#This Row],[Valor unitário]]</f>
        <v>0</v>
      </c>
      <c r="J64" s="83" t="s">
        <v>20</v>
      </c>
      <c r="K64" s="83" t="s">
        <v>415</v>
      </c>
      <c r="L64" s="86">
        <v>45292</v>
      </c>
      <c r="M64" s="83" t="s">
        <v>20</v>
      </c>
      <c r="N64" s="87"/>
      <c r="O64" s="83" t="s">
        <v>827</v>
      </c>
    </row>
    <row r="65" spans="1:15" ht="27">
      <c r="A65" s="81">
        <f t="shared" si="0"/>
        <v>64</v>
      </c>
      <c r="B65" s="89" t="s">
        <v>901</v>
      </c>
      <c r="C65" s="83" t="s">
        <v>34</v>
      </c>
      <c r="D65" s="83" t="s">
        <v>35</v>
      </c>
      <c r="E65" s="84">
        <v>200</v>
      </c>
      <c r="F65" s="85"/>
      <c r="G65" s="83" t="s">
        <v>885</v>
      </c>
      <c r="H65" s="83" t="s">
        <v>893</v>
      </c>
      <c r="I65" s="85">
        <f>Planejamento2024[[#This Row],[Qnt de Itens]]*Planejamento2024[[#This Row],[Valor unitário]]</f>
        <v>0</v>
      </c>
      <c r="J65" s="83" t="s">
        <v>20</v>
      </c>
      <c r="K65" s="83" t="s">
        <v>415</v>
      </c>
      <c r="L65" s="86">
        <v>45292</v>
      </c>
      <c r="M65" s="83" t="s">
        <v>20</v>
      </c>
      <c r="N65" s="87"/>
      <c r="O65" s="83" t="s">
        <v>827</v>
      </c>
    </row>
    <row r="66" spans="1:15" ht="45">
      <c r="A66" s="81">
        <f t="shared" ref="A66:A129" si="1">ROW(A65)</f>
        <v>65</v>
      </c>
      <c r="B66" s="89" t="s">
        <v>902</v>
      </c>
      <c r="C66" s="83" t="s">
        <v>34</v>
      </c>
      <c r="D66" s="83" t="s">
        <v>35</v>
      </c>
      <c r="E66" s="84">
        <v>15</v>
      </c>
      <c r="F66" s="85"/>
      <c r="G66" s="83" t="s">
        <v>885</v>
      </c>
      <c r="H66" s="83" t="s">
        <v>893</v>
      </c>
      <c r="I66" s="85">
        <f>Planejamento2024[[#This Row],[Qnt de Itens]]*Planejamento2024[[#This Row],[Valor unitário]]</f>
        <v>0</v>
      </c>
      <c r="J66" s="83" t="s">
        <v>20</v>
      </c>
      <c r="K66" s="83" t="s">
        <v>415</v>
      </c>
      <c r="L66" s="86">
        <v>45292</v>
      </c>
      <c r="M66" s="83" t="s">
        <v>20</v>
      </c>
      <c r="N66" s="87"/>
      <c r="O66" s="83" t="s">
        <v>827</v>
      </c>
    </row>
    <row r="67" spans="1:15" ht="18">
      <c r="A67" s="81">
        <f t="shared" si="1"/>
        <v>66</v>
      </c>
      <c r="B67" s="90" t="s">
        <v>903</v>
      </c>
      <c r="C67" s="83" t="s">
        <v>34</v>
      </c>
      <c r="D67" s="83" t="s">
        <v>35</v>
      </c>
      <c r="E67" s="84">
        <v>400</v>
      </c>
      <c r="F67" s="85"/>
      <c r="G67" s="83" t="s">
        <v>885</v>
      </c>
      <c r="H67" s="83" t="s">
        <v>893</v>
      </c>
      <c r="I67" s="85">
        <f>Planejamento2024[[#This Row],[Qnt de Itens]]*Planejamento2024[[#This Row],[Valor unitário]]</f>
        <v>0</v>
      </c>
      <c r="J67" s="83" t="s">
        <v>20</v>
      </c>
      <c r="K67" s="83" t="s">
        <v>415</v>
      </c>
      <c r="L67" s="86">
        <v>45292</v>
      </c>
      <c r="M67" s="83" t="s">
        <v>20</v>
      </c>
      <c r="N67" s="87"/>
      <c r="O67" s="83" t="s">
        <v>827</v>
      </c>
    </row>
    <row r="68" spans="1:15" ht="18">
      <c r="A68" s="81">
        <f t="shared" si="1"/>
        <v>67</v>
      </c>
      <c r="B68" s="89" t="s">
        <v>904</v>
      </c>
      <c r="C68" s="83" t="s">
        <v>34</v>
      </c>
      <c r="D68" s="83" t="s">
        <v>35</v>
      </c>
      <c r="E68" s="84">
        <v>600</v>
      </c>
      <c r="F68" s="85"/>
      <c r="G68" s="83" t="s">
        <v>885</v>
      </c>
      <c r="H68" s="83" t="s">
        <v>893</v>
      </c>
      <c r="I68" s="85">
        <f>Planejamento2024[[#This Row],[Qnt de Itens]]*Planejamento2024[[#This Row],[Valor unitário]]</f>
        <v>0</v>
      </c>
      <c r="J68" s="83" t="s">
        <v>20</v>
      </c>
      <c r="K68" s="83" t="s">
        <v>415</v>
      </c>
      <c r="L68" s="86">
        <v>45292</v>
      </c>
      <c r="M68" s="83" t="s">
        <v>20</v>
      </c>
      <c r="N68" s="87"/>
      <c r="O68" s="83" t="s">
        <v>827</v>
      </c>
    </row>
    <row r="69" spans="1:15" ht="18">
      <c r="A69" s="81">
        <f t="shared" si="1"/>
        <v>68</v>
      </c>
      <c r="B69" s="89" t="s">
        <v>905</v>
      </c>
      <c r="C69" s="83" t="s">
        <v>34</v>
      </c>
      <c r="D69" s="83" t="s">
        <v>35</v>
      </c>
      <c r="E69" s="84">
        <v>200</v>
      </c>
      <c r="F69" s="85"/>
      <c r="G69" s="83" t="s">
        <v>885</v>
      </c>
      <c r="H69" s="83" t="s">
        <v>893</v>
      </c>
      <c r="I69" s="85">
        <f>Planejamento2024[[#This Row],[Qnt de Itens]]*Planejamento2024[[#This Row],[Valor unitário]]</f>
        <v>0</v>
      </c>
      <c r="J69" s="83" t="s">
        <v>20</v>
      </c>
      <c r="K69" s="83" t="s">
        <v>415</v>
      </c>
      <c r="L69" s="86">
        <v>45292</v>
      </c>
      <c r="M69" s="83" t="s">
        <v>20</v>
      </c>
      <c r="N69" s="87"/>
      <c r="O69" s="83" t="s">
        <v>827</v>
      </c>
    </row>
    <row r="70" spans="1:15" ht="36">
      <c r="A70" s="81">
        <f t="shared" si="1"/>
        <v>69</v>
      </c>
      <c r="B70" s="91" t="s">
        <v>906</v>
      </c>
      <c r="C70" s="83" t="s">
        <v>34</v>
      </c>
      <c r="D70" s="83" t="s">
        <v>35</v>
      </c>
      <c r="E70" s="84">
        <v>75</v>
      </c>
      <c r="F70" s="85"/>
      <c r="G70" s="83" t="s">
        <v>885</v>
      </c>
      <c r="H70" s="83" t="s">
        <v>893</v>
      </c>
      <c r="I70" s="85">
        <f>Planejamento2024[[#This Row],[Qnt de Itens]]*Planejamento2024[[#This Row],[Valor unitário]]</f>
        <v>0</v>
      </c>
      <c r="J70" s="83" t="s">
        <v>20</v>
      </c>
      <c r="K70" s="83" t="s">
        <v>415</v>
      </c>
      <c r="L70" s="86">
        <v>45292</v>
      </c>
      <c r="M70" s="83" t="s">
        <v>20</v>
      </c>
      <c r="N70" s="87"/>
      <c r="O70" s="83" t="s">
        <v>827</v>
      </c>
    </row>
    <row r="71" spans="1:15" ht="36">
      <c r="A71" s="81">
        <f t="shared" si="1"/>
        <v>70</v>
      </c>
      <c r="B71" s="91" t="s">
        <v>907</v>
      </c>
      <c r="C71" s="83" t="s">
        <v>34</v>
      </c>
      <c r="D71" s="83" t="s">
        <v>35</v>
      </c>
      <c r="E71" s="84">
        <v>75</v>
      </c>
      <c r="F71" s="85"/>
      <c r="G71" s="83" t="s">
        <v>885</v>
      </c>
      <c r="H71" s="83" t="s">
        <v>893</v>
      </c>
      <c r="I71" s="85">
        <f>Planejamento2024[[#This Row],[Qnt de Itens]]*Planejamento2024[[#This Row],[Valor unitário]]</f>
        <v>0</v>
      </c>
      <c r="J71" s="83" t="s">
        <v>20</v>
      </c>
      <c r="K71" s="83" t="s">
        <v>415</v>
      </c>
      <c r="L71" s="86">
        <v>45292</v>
      </c>
      <c r="M71" s="83" t="s">
        <v>20</v>
      </c>
      <c r="N71" s="87"/>
      <c r="O71" s="83" t="s">
        <v>827</v>
      </c>
    </row>
    <row r="72" spans="1:15" ht="36">
      <c r="A72" s="81">
        <f t="shared" si="1"/>
        <v>71</v>
      </c>
      <c r="B72" s="89" t="s">
        <v>908</v>
      </c>
      <c r="C72" s="83" t="s">
        <v>34</v>
      </c>
      <c r="D72" s="83" t="s">
        <v>35</v>
      </c>
      <c r="E72" s="84">
        <v>300</v>
      </c>
      <c r="F72" s="85"/>
      <c r="G72" s="83" t="s">
        <v>885</v>
      </c>
      <c r="H72" s="83" t="s">
        <v>893</v>
      </c>
      <c r="I72" s="85">
        <f>Planejamento2024[[#This Row],[Qnt de Itens]]*Planejamento2024[[#This Row],[Valor unitário]]</f>
        <v>0</v>
      </c>
      <c r="J72" s="83" t="s">
        <v>20</v>
      </c>
      <c r="K72" s="83" t="s">
        <v>415</v>
      </c>
      <c r="L72" s="86">
        <v>45292</v>
      </c>
      <c r="M72" s="83" t="s">
        <v>20</v>
      </c>
      <c r="N72" s="87"/>
      <c r="O72" s="83" t="s">
        <v>827</v>
      </c>
    </row>
    <row r="73" spans="1:15" ht="36">
      <c r="A73" s="81">
        <f t="shared" si="1"/>
        <v>72</v>
      </c>
      <c r="B73" s="89" t="s">
        <v>909</v>
      </c>
      <c r="C73" s="83" t="s">
        <v>34</v>
      </c>
      <c r="D73" s="83" t="s">
        <v>35</v>
      </c>
      <c r="E73" s="84">
        <v>300</v>
      </c>
      <c r="F73" s="85"/>
      <c r="G73" s="83" t="s">
        <v>885</v>
      </c>
      <c r="H73" s="83" t="s">
        <v>893</v>
      </c>
      <c r="I73" s="85">
        <f>Planejamento2024[[#This Row],[Qnt de Itens]]*Planejamento2024[[#This Row],[Valor unitário]]</f>
        <v>0</v>
      </c>
      <c r="J73" s="83" t="s">
        <v>20</v>
      </c>
      <c r="K73" s="83" t="s">
        <v>415</v>
      </c>
      <c r="L73" s="86">
        <v>45292</v>
      </c>
      <c r="M73" s="83" t="s">
        <v>20</v>
      </c>
      <c r="N73" s="87"/>
      <c r="O73" s="83" t="s">
        <v>827</v>
      </c>
    </row>
    <row r="74" spans="1:15" ht="18">
      <c r="A74" s="81">
        <f t="shared" si="1"/>
        <v>73</v>
      </c>
      <c r="B74" s="89" t="s">
        <v>910</v>
      </c>
      <c r="C74" s="83" t="s">
        <v>34</v>
      </c>
      <c r="D74" s="83" t="s">
        <v>35</v>
      </c>
      <c r="E74" s="84">
        <v>40</v>
      </c>
      <c r="F74" s="85"/>
      <c r="G74" s="83" t="s">
        <v>885</v>
      </c>
      <c r="H74" s="83" t="s">
        <v>893</v>
      </c>
      <c r="I74" s="85">
        <f>Planejamento2024[[#This Row],[Qnt de Itens]]*Planejamento2024[[#This Row],[Valor unitário]]</f>
        <v>0</v>
      </c>
      <c r="J74" s="83" t="s">
        <v>20</v>
      </c>
      <c r="K74" s="83" t="s">
        <v>415</v>
      </c>
      <c r="L74" s="86">
        <v>45292</v>
      </c>
      <c r="M74" s="83" t="s">
        <v>20</v>
      </c>
      <c r="N74" s="87"/>
      <c r="O74" s="83" t="s">
        <v>827</v>
      </c>
    </row>
    <row r="75" spans="1:15" ht="27">
      <c r="A75" s="81">
        <f t="shared" si="1"/>
        <v>74</v>
      </c>
      <c r="B75" s="89" t="s">
        <v>911</v>
      </c>
      <c r="C75" s="83" t="s">
        <v>34</v>
      </c>
      <c r="D75" s="83" t="s">
        <v>35</v>
      </c>
      <c r="E75" s="84">
        <v>100</v>
      </c>
      <c r="F75" s="85"/>
      <c r="G75" s="83" t="s">
        <v>885</v>
      </c>
      <c r="H75" s="83" t="s">
        <v>893</v>
      </c>
      <c r="I75" s="85">
        <f>Planejamento2024[[#This Row],[Qnt de Itens]]*Planejamento2024[[#This Row],[Valor unitário]]</f>
        <v>0</v>
      </c>
      <c r="J75" s="83" t="s">
        <v>20</v>
      </c>
      <c r="K75" s="83" t="s">
        <v>415</v>
      </c>
      <c r="L75" s="86">
        <v>45292</v>
      </c>
      <c r="M75" s="83" t="s">
        <v>20</v>
      </c>
      <c r="N75" s="87"/>
      <c r="O75" s="83" t="s">
        <v>827</v>
      </c>
    </row>
    <row r="76" spans="1:15" ht="18">
      <c r="A76" s="81">
        <f t="shared" si="1"/>
        <v>75</v>
      </c>
      <c r="B76" s="89" t="s">
        <v>912</v>
      </c>
      <c r="C76" s="83" t="s">
        <v>34</v>
      </c>
      <c r="D76" s="83" t="s">
        <v>35</v>
      </c>
      <c r="E76" s="84">
        <v>1000</v>
      </c>
      <c r="F76" s="85"/>
      <c r="G76" s="83" t="s">
        <v>885</v>
      </c>
      <c r="H76" s="83" t="s">
        <v>893</v>
      </c>
      <c r="I76" s="85">
        <f>Planejamento2024[[#This Row],[Qnt de Itens]]*Planejamento2024[[#This Row],[Valor unitário]]</f>
        <v>0</v>
      </c>
      <c r="J76" s="83" t="s">
        <v>20</v>
      </c>
      <c r="K76" s="83" t="s">
        <v>415</v>
      </c>
      <c r="L76" s="86">
        <v>45292</v>
      </c>
      <c r="M76" s="83" t="s">
        <v>20</v>
      </c>
      <c r="N76" s="87"/>
      <c r="O76" s="83" t="s">
        <v>827</v>
      </c>
    </row>
    <row r="77" spans="1:15" ht="18">
      <c r="A77" s="81">
        <f t="shared" si="1"/>
        <v>76</v>
      </c>
      <c r="B77" s="89" t="s">
        <v>913</v>
      </c>
      <c r="C77" s="83" t="s">
        <v>34</v>
      </c>
      <c r="D77" s="83" t="s">
        <v>35</v>
      </c>
      <c r="E77" s="84">
        <v>600</v>
      </c>
      <c r="F77" s="85"/>
      <c r="G77" s="83" t="s">
        <v>885</v>
      </c>
      <c r="H77" s="83" t="s">
        <v>893</v>
      </c>
      <c r="I77" s="85">
        <f>Planejamento2024[[#This Row],[Qnt de Itens]]*Planejamento2024[[#This Row],[Valor unitário]]</f>
        <v>0</v>
      </c>
      <c r="J77" s="83" t="s">
        <v>20</v>
      </c>
      <c r="K77" s="83" t="s">
        <v>415</v>
      </c>
      <c r="L77" s="86">
        <v>45292</v>
      </c>
      <c r="M77" s="83" t="s">
        <v>20</v>
      </c>
      <c r="N77" s="87"/>
      <c r="O77" s="83" t="s">
        <v>827</v>
      </c>
    </row>
    <row r="78" spans="1:15" ht="18">
      <c r="A78" s="81">
        <f t="shared" si="1"/>
        <v>77</v>
      </c>
      <c r="B78" s="89" t="s">
        <v>914</v>
      </c>
      <c r="C78" s="83" t="s">
        <v>34</v>
      </c>
      <c r="D78" s="83" t="s">
        <v>35</v>
      </c>
      <c r="E78" s="84">
        <v>100</v>
      </c>
      <c r="F78" s="85"/>
      <c r="G78" s="83" t="s">
        <v>885</v>
      </c>
      <c r="H78" s="83" t="s">
        <v>893</v>
      </c>
      <c r="I78" s="85">
        <f>Planejamento2024[[#This Row],[Qnt de Itens]]*Planejamento2024[[#This Row],[Valor unitário]]</f>
        <v>0</v>
      </c>
      <c r="J78" s="83" t="s">
        <v>20</v>
      </c>
      <c r="K78" s="83" t="s">
        <v>415</v>
      </c>
      <c r="L78" s="86">
        <v>45292</v>
      </c>
      <c r="M78" s="83" t="s">
        <v>20</v>
      </c>
      <c r="N78" s="87"/>
      <c r="O78" s="83" t="s">
        <v>827</v>
      </c>
    </row>
    <row r="79" spans="1:15" ht="45">
      <c r="A79" s="81">
        <f t="shared" si="1"/>
        <v>78</v>
      </c>
      <c r="B79" s="82" t="s">
        <v>915</v>
      </c>
      <c r="C79" s="83" t="s">
        <v>34</v>
      </c>
      <c r="D79" s="83" t="s">
        <v>35</v>
      </c>
      <c r="E79" s="84">
        <v>150</v>
      </c>
      <c r="F79" s="85"/>
      <c r="G79" s="83" t="s">
        <v>885</v>
      </c>
      <c r="H79" s="83" t="s">
        <v>893</v>
      </c>
      <c r="I79" s="85">
        <f>Planejamento2024[[#This Row],[Qnt de Itens]]*Planejamento2024[[#This Row],[Valor unitário]]</f>
        <v>0</v>
      </c>
      <c r="J79" s="83" t="s">
        <v>20</v>
      </c>
      <c r="K79" s="83" t="s">
        <v>415</v>
      </c>
      <c r="L79" s="86">
        <v>45292</v>
      </c>
      <c r="M79" s="83" t="s">
        <v>20</v>
      </c>
      <c r="N79" s="87"/>
      <c r="O79" s="83" t="s">
        <v>827</v>
      </c>
    </row>
    <row r="80" spans="1:15" ht="36">
      <c r="A80" s="81">
        <f t="shared" si="1"/>
        <v>79</v>
      </c>
      <c r="B80" s="90" t="s">
        <v>916</v>
      </c>
      <c r="C80" s="83" t="s">
        <v>34</v>
      </c>
      <c r="D80" s="83" t="s">
        <v>35</v>
      </c>
      <c r="E80" s="84">
        <v>15</v>
      </c>
      <c r="F80" s="85"/>
      <c r="G80" s="83" t="s">
        <v>885</v>
      </c>
      <c r="H80" s="83" t="s">
        <v>893</v>
      </c>
      <c r="I80" s="85">
        <f>Planejamento2024[[#This Row],[Qnt de Itens]]*Planejamento2024[[#This Row],[Valor unitário]]</f>
        <v>0</v>
      </c>
      <c r="J80" s="83" t="s">
        <v>20</v>
      </c>
      <c r="K80" s="83" t="s">
        <v>415</v>
      </c>
      <c r="L80" s="86">
        <v>45292</v>
      </c>
      <c r="M80" s="83" t="s">
        <v>20</v>
      </c>
      <c r="N80" s="87"/>
      <c r="O80" s="83" t="s">
        <v>827</v>
      </c>
    </row>
    <row r="81" spans="1:15" ht="27">
      <c r="A81" s="81">
        <f t="shared" si="1"/>
        <v>80</v>
      </c>
      <c r="B81" s="90" t="s">
        <v>917</v>
      </c>
      <c r="C81" s="83" t="s">
        <v>34</v>
      </c>
      <c r="D81" s="83" t="s">
        <v>35</v>
      </c>
      <c r="E81" s="84">
        <v>15</v>
      </c>
      <c r="F81" s="85"/>
      <c r="G81" s="83" t="s">
        <v>885</v>
      </c>
      <c r="H81" s="83" t="s">
        <v>893</v>
      </c>
      <c r="I81" s="85">
        <f>Planejamento2024[[#This Row],[Qnt de Itens]]*Planejamento2024[[#This Row],[Valor unitário]]</f>
        <v>0</v>
      </c>
      <c r="J81" s="83" t="s">
        <v>20</v>
      </c>
      <c r="K81" s="83" t="s">
        <v>415</v>
      </c>
      <c r="L81" s="86">
        <v>45292</v>
      </c>
      <c r="M81" s="83" t="s">
        <v>20</v>
      </c>
      <c r="N81" s="87"/>
      <c r="O81" s="83" t="s">
        <v>827</v>
      </c>
    </row>
    <row r="82" spans="1:15" ht="27">
      <c r="A82" s="81">
        <f t="shared" si="1"/>
        <v>81</v>
      </c>
      <c r="B82" s="89" t="s">
        <v>918</v>
      </c>
      <c r="C82" s="83" t="s">
        <v>34</v>
      </c>
      <c r="D82" s="83" t="s">
        <v>35</v>
      </c>
      <c r="E82" s="84">
        <v>75</v>
      </c>
      <c r="F82" s="85"/>
      <c r="G82" s="83" t="s">
        <v>885</v>
      </c>
      <c r="H82" s="83" t="s">
        <v>893</v>
      </c>
      <c r="I82" s="85">
        <f>Planejamento2024[[#This Row],[Qnt de Itens]]*Planejamento2024[[#This Row],[Valor unitário]]</f>
        <v>0</v>
      </c>
      <c r="J82" s="83" t="s">
        <v>20</v>
      </c>
      <c r="K82" s="83" t="s">
        <v>415</v>
      </c>
      <c r="L82" s="86">
        <v>45292</v>
      </c>
      <c r="M82" s="83" t="s">
        <v>20</v>
      </c>
      <c r="N82" s="87"/>
      <c r="O82" s="83" t="s">
        <v>827</v>
      </c>
    </row>
    <row r="83" spans="1:15" ht="18">
      <c r="A83" s="81">
        <f t="shared" si="1"/>
        <v>82</v>
      </c>
      <c r="B83" s="90" t="s">
        <v>919</v>
      </c>
      <c r="C83" s="83" t="s">
        <v>34</v>
      </c>
      <c r="D83" s="83" t="s">
        <v>35</v>
      </c>
      <c r="E83" s="84">
        <v>40</v>
      </c>
      <c r="F83" s="85"/>
      <c r="G83" s="83" t="s">
        <v>885</v>
      </c>
      <c r="H83" s="83" t="s">
        <v>893</v>
      </c>
      <c r="I83" s="85">
        <f>Planejamento2024[[#This Row],[Qnt de Itens]]*Planejamento2024[[#This Row],[Valor unitário]]</f>
        <v>0</v>
      </c>
      <c r="J83" s="83" t="s">
        <v>20</v>
      </c>
      <c r="K83" s="83" t="s">
        <v>415</v>
      </c>
      <c r="L83" s="86">
        <v>45292</v>
      </c>
      <c r="M83" s="83" t="s">
        <v>20</v>
      </c>
      <c r="N83" s="87"/>
      <c r="O83" s="83" t="s">
        <v>827</v>
      </c>
    </row>
    <row r="84" spans="1:15" ht="36">
      <c r="A84" s="81">
        <f t="shared" si="1"/>
        <v>83</v>
      </c>
      <c r="B84" s="82" t="s">
        <v>920</v>
      </c>
      <c r="C84" s="83" t="s">
        <v>34</v>
      </c>
      <c r="D84" s="83" t="s">
        <v>35</v>
      </c>
      <c r="E84" s="84">
        <v>300</v>
      </c>
      <c r="F84" s="85"/>
      <c r="G84" s="83" t="s">
        <v>885</v>
      </c>
      <c r="H84" s="83" t="s">
        <v>893</v>
      </c>
      <c r="I84" s="85">
        <f>Planejamento2024[[#This Row],[Qnt de Itens]]*Planejamento2024[[#This Row],[Valor unitário]]</f>
        <v>0</v>
      </c>
      <c r="J84" s="83" t="s">
        <v>20</v>
      </c>
      <c r="K84" s="83" t="s">
        <v>415</v>
      </c>
      <c r="L84" s="86">
        <v>45292</v>
      </c>
      <c r="M84" s="83" t="s">
        <v>20</v>
      </c>
      <c r="N84" s="87"/>
      <c r="O84" s="83" t="s">
        <v>827</v>
      </c>
    </row>
    <row r="85" spans="1:15" ht="27">
      <c r="A85" s="81">
        <f t="shared" si="1"/>
        <v>84</v>
      </c>
      <c r="B85" s="89" t="s">
        <v>921</v>
      </c>
      <c r="C85" s="83" t="s">
        <v>34</v>
      </c>
      <c r="D85" s="83" t="s">
        <v>35</v>
      </c>
      <c r="E85" s="84">
        <v>150</v>
      </c>
      <c r="F85" s="85"/>
      <c r="G85" s="83" t="s">
        <v>885</v>
      </c>
      <c r="H85" s="83" t="s">
        <v>893</v>
      </c>
      <c r="I85" s="85">
        <f>Planejamento2024[[#This Row],[Qnt de Itens]]*Planejamento2024[[#This Row],[Valor unitário]]</f>
        <v>0</v>
      </c>
      <c r="J85" s="83" t="s">
        <v>20</v>
      </c>
      <c r="K85" s="83" t="s">
        <v>415</v>
      </c>
      <c r="L85" s="86">
        <v>45292</v>
      </c>
      <c r="M85" s="83" t="s">
        <v>20</v>
      </c>
      <c r="N85" s="87"/>
      <c r="O85" s="83" t="s">
        <v>827</v>
      </c>
    </row>
    <row r="86" spans="1:15" ht="27">
      <c r="A86" s="81">
        <f t="shared" si="1"/>
        <v>85</v>
      </c>
      <c r="B86" s="89" t="s">
        <v>922</v>
      </c>
      <c r="C86" s="83" t="s">
        <v>34</v>
      </c>
      <c r="D86" s="83" t="s">
        <v>35</v>
      </c>
      <c r="E86" s="84">
        <v>300</v>
      </c>
      <c r="F86" s="85"/>
      <c r="G86" s="83" t="s">
        <v>885</v>
      </c>
      <c r="H86" s="83" t="s">
        <v>893</v>
      </c>
      <c r="I86" s="85">
        <f>Planejamento2024[[#This Row],[Qnt de Itens]]*Planejamento2024[[#This Row],[Valor unitário]]</f>
        <v>0</v>
      </c>
      <c r="J86" s="83" t="s">
        <v>20</v>
      </c>
      <c r="K86" s="83" t="s">
        <v>415</v>
      </c>
      <c r="L86" s="86">
        <v>45292</v>
      </c>
      <c r="M86" s="83" t="s">
        <v>20</v>
      </c>
      <c r="N86" s="87"/>
      <c r="O86" s="83" t="s">
        <v>827</v>
      </c>
    </row>
    <row r="87" spans="1:15" ht="18">
      <c r="A87" s="81">
        <f t="shared" si="1"/>
        <v>86</v>
      </c>
      <c r="B87" s="90" t="s">
        <v>923</v>
      </c>
      <c r="C87" s="83" t="s">
        <v>34</v>
      </c>
      <c r="D87" s="83" t="s">
        <v>35</v>
      </c>
      <c r="E87" s="84">
        <v>20</v>
      </c>
      <c r="F87" s="85"/>
      <c r="G87" s="83" t="s">
        <v>885</v>
      </c>
      <c r="H87" s="83" t="s">
        <v>893</v>
      </c>
      <c r="I87" s="85">
        <f>Planejamento2024[[#This Row],[Qnt de Itens]]*Planejamento2024[[#This Row],[Valor unitário]]</f>
        <v>0</v>
      </c>
      <c r="J87" s="83" t="s">
        <v>20</v>
      </c>
      <c r="K87" s="83" t="s">
        <v>415</v>
      </c>
      <c r="L87" s="86">
        <v>45292</v>
      </c>
      <c r="M87" s="83" t="s">
        <v>20</v>
      </c>
      <c r="N87" s="87"/>
      <c r="O87" s="83" t="s">
        <v>827</v>
      </c>
    </row>
    <row r="88" spans="1:15" ht="18">
      <c r="A88" s="81">
        <f t="shared" si="1"/>
        <v>87</v>
      </c>
      <c r="B88" s="89" t="s">
        <v>924</v>
      </c>
      <c r="C88" s="83" t="s">
        <v>34</v>
      </c>
      <c r="D88" s="83" t="s">
        <v>35</v>
      </c>
      <c r="E88" s="84">
        <v>300</v>
      </c>
      <c r="F88" s="85"/>
      <c r="G88" s="83" t="s">
        <v>925</v>
      </c>
      <c r="H88" s="83" t="s">
        <v>893</v>
      </c>
      <c r="I88" s="85">
        <f>Planejamento2024[[#This Row],[Qnt de Itens]]*Planejamento2024[[#This Row],[Valor unitário]]</f>
        <v>0</v>
      </c>
      <c r="J88" s="83" t="s">
        <v>20</v>
      </c>
      <c r="K88" s="83" t="s">
        <v>415</v>
      </c>
      <c r="L88" s="86">
        <v>45292</v>
      </c>
      <c r="M88" s="83" t="s">
        <v>20</v>
      </c>
      <c r="N88" s="87"/>
      <c r="O88" s="83" t="s">
        <v>827</v>
      </c>
    </row>
    <row r="89" spans="1:15" ht="27">
      <c r="A89" s="81">
        <f t="shared" si="1"/>
        <v>88</v>
      </c>
      <c r="B89" s="82" t="s">
        <v>926</v>
      </c>
      <c r="C89" s="83" t="s">
        <v>34</v>
      </c>
      <c r="D89" s="83" t="s">
        <v>35</v>
      </c>
      <c r="E89" s="84">
        <v>300</v>
      </c>
      <c r="F89" s="85"/>
      <c r="G89" s="83" t="s">
        <v>925</v>
      </c>
      <c r="H89" s="83" t="s">
        <v>893</v>
      </c>
      <c r="I89" s="85">
        <f>Planejamento2024[[#This Row],[Qnt de Itens]]*Planejamento2024[[#This Row],[Valor unitário]]</f>
        <v>0</v>
      </c>
      <c r="J89" s="83" t="s">
        <v>20</v>
      </c>
      <c r="K89" s="83" t="s">
        <v>415</v>
      </c>
      <c r="L89" s="86">
        <v>45292</v>
      </c>
      <c r="M89" s="83" t="s">
        <v>20</v>
      </c>
      <c r="N89" s="87"/>
      <c r="O89" s="83" t="s">
        <v>827</v>
      </c>
    </row>
    <row r="90" spans="1:15" ht="27">
      <c r="A90" s="81">
        <f t="shared" si="1"/>
        <v>89</v>
      </c>
      <c r="B90" s="89" t="s">
        <v>927</v>
      </c>
      <c r="C90" s="83" t="s">
        <v>34</v>
      </c>
      <c r="D90" s="83" t="s">
        <v>35</v>
      </c>
      <c r="E90" s="84">
        <v>300</v>
      </c>
      <c r="F90" s="85"/>
      <c r="G90" s="83" t="s">
        <v>928</v>
      </c>
      <c r="H90" s="83" t="s">
        <v>893</v>
      </c>
      <c r="I90" s="85">
        <f>Planejamento2024[[#This Row],[Qnt de Itens]]*Planejamento2024[[#This Row],[Valor unitário]]</f>
        <v>0</v>
      </c>
      <c r="J90" s="83" t="s">
        <v>20</v>
      </c>
      <c r="K90" s="83" t="s">
        <v>415</v>
      </c>
      <c r="L90" s="86">
        <v>45292</v>
      </c>
      <c r="M90" s="83" t="s">
        <v>20</v>
      </c>
      <c r="N90" s="87"/>
      <c r="O90" s="83" t="s">
        <v>827</v>
      </c>
    </row>
    <row r="91" spans="1:15" ht="18">
      <c r="A91" s="81">
        <f t="shared" si="1"/>
        <v>90</v>
      </c>
      <c r="B91" s="89" t="s">
        <v>929</v>
      </c>
      <c r="C91" s="83" t="s">
        <v>34</v>
      </c>
      <c r="D91" s="83" t="s">
        <v>35</v>
      </c>
      <c r="E91" s="84">
        <v>50</v>
      </c>
      <c r="F91" s="85"/>
      <c r="G91" s="83" t="s">
        <v>928</v>
      </c>
      <c r="H91" s="83" t="s">
        <v>893</v>
      </c>
      <c r="I91" s="85">
        <f>Planejamento2024[[#This Row],[Qnt de Itens]]*Planejamento2024[[#This Row],[Valor unitário]]</f>
        <v>0</v>
      </c>
      <c r="J91" s="83" t="s">
        <v>20</v>
      </c>
      <c r="K91" s="83" t="s">
        <v>415</v>
      </c>
      <c r="L91" s="86">
        <v>45292</v>
      </c>
      <c r="M91" s="83" t="s">
        <v>20</v>
      </c>
      <c r="N91" s="87"/>
      <c r="O91" s="83" t="s">
        <v>827</v>
      </c>
    </row>
    <row r="92" spans="1:15" ht="27">
      <c r="A92" s="81">
        <f t="shared" si="1"/>
        <v>91</v>
      </c>
      <c r="B92" s="90" t="s">
        <v>930</v>
      </c>
      <c r="C92" s="83" t="s">
        <v>34</v>
      </c>
      <c r="D92" s="83" t="s">
        <v>35</v>
      </c>
      <c r="E92" s="84">
        <v>80</v>
      </c>
      <c r="F92" s="85"/>
      <c r="G92" s="83" t="s">
        <v>928</v>
      </c>
      <c r="H92" s="83" t="s">
        <v>893</v>
      </c>
      <c r="I92" s="85">
        <f>Planejamento2024[[#This Row],[Qnt de Itens]]*Planejamento2024[[#This Row],[Valor unitário]]</f>
        <v>0</v>
      </c>
      <c r="J92" s="83" t="s">
        <v>20</v>
      </c>
      <c r="K92" s="83" t="s">
        <v>415</v>
      </c>
      <c r="L92" s="86">
        <v>45292</v>
      </c>
      <c r="M92" s="83" t="s">
        <v>20</v>
      </c>
      <c r="N92" s="87"/>
      <c r="O92" s="83" t="s">
        <v>827</v>
      </c>
    </row>
    <row r="93" spans="1:15" ht="18">
      <c r="A93" s="81">
        <f t="shared" si="1"/>
        <v>92</v>
      </c>
      <c r="B93" s="89" t="s">
        <v>931</v>
      </c>
      <c r="C93" s="83" t="s">
        <v>34</v>
      </c>
      <c r="D93" s="83" t="s">
        <v>35</v>
      </c>
      <c r="E93" s="84">
        <v>30</v>
      </c>
      <c r="F93" s="85"/>
      <c r="G93" s="83" t="s">
        <v>928</v>
      </c>
      <c r="H93" s="83" t="s">
        <v>893</v>
      </c>
      <c r="I93" s="85">
        <f>Planejamento2024[[#This Row],[Qnt de Itens]]*Planejamento2024[[#This Row],[Valor unitário]]</f>
        <v>0</v>
      </c>
      <c r="J93" s="83" t="s">
        <v>20</v>
      </c>
      <c r="K93" s="83" t="s">
        <v>415</v>
      </c>
      <c r="L93" s="86">
        <v>45292</v>
      </c>
      <c r="M93" s="83" t="s">
        <v>20</v>
      </c>
      <c r="N93" s="87"/>
      <c r="O93" s="83" t="s">
        <v>827</v>
      </c>
    </row>
    <row r="94" spans="1:15" ht="18">
      <c r="A94" s="81">
        <f t="shared" si="1"/>
        <v>93</v>
      </c>
      <c r="B94" s="89" t="s">
        <v>932</v>
      </c>
      <c r="C94" s="83" t="s">
        <v>34</v>
      </c>
      <c r="D94" s="83" t="s">
        <v>35</v>
      </c>
      <c r="E94" s="84">
        <v>30</v>
      </c>
      <c r="F94" s="85"/>
      <c r="G94" s="83" t="s">
        <v>885</v>
      </c>
      <c r="H94" s="83" t="s">
        <v>893</v>
      </c>
      <c r="I94" s="85">
        <f>Planejamento2024[[#This Row],[Qnt de Itens]]*Planejamento2024[[#This Row],[Valor unitário]]</f>
        <v>0</v>
      </c>
      <c r="J94" s="83" t="s">
        <v>20</v>
      </c>
      <c r="K94" s="83" t="s">
        <v>415</v>
      </c>
      <c r="L94" s="86">
        <v>45292</v>
      </c>
      <c r="M94" s="83" t="s">
        <v>20</v>
      </c>
      <c r="N94" s="87"/>
      <c r="O94" s="83" t="s">
        <v>827</v>
      </c>
    </row>
    <row r="95" spans="1:15" ht="27">
      <c r="A95" s="81">
        <f t="shared" si="1"/>
        <v>94</v>
      </c>
      <c r="B95" s="89" t="s">
        <v>933</v>
      </c>
      <c r="C95" s="83" t="s">
        <v>34</v>
      </c>
      <c r="D95" s="83" t="s">
        <v>35</v>
      </c>
      <c r="E95" s="84">
        <v>150</v>
      </c>
      <c r="F95" s="85"/>
      <c r="G95" s="83" t="s">
        <v>885</v>
      </c>
      <c r="H95" s="83" t="s">
        <v>893</v>
      </c>
      <c r="I95" s="85">
        <f>Planejamento2024[[#This Row],[Qnt de Itens]]*Planejamento2024[[#This Row],[Valor unitário]]</f>
        <v>0</v>
      </c>
      <c r="J95" s="83" t="s">
        <v>20</v>
      </c>
      <c r="K95" s="83" t="s">
        <v>415</v>
      </c>
      <c r="L95" s="86">
        <v>45292</v>
      </c>
      <c r="M95" s="83" t="s">
        <v>20</v>
      </c>
      <c r="N95" s="87"/>
      <c r="O95" s="83" t="s">
        <v>827</v>
      </c>
    </row>
    <row r="96" spans="1:15" ht="27">
      <c r="A96" s="81">
        <f t="shared" si="1"/>
        <v>95</v>
      </c>
      <c r="B96" s="89" t="s">
        <v>934</v>
      </c>
      <c r="C96" s="83" t="s">
        <v>34</v>
      </c>
      <c r="D96" s="83" t="s">
        <v>35</v>
      </c>
      <c r="E96" s="84">
        <v>150</v>
      </c>
      <c r="F96" s="85"/>
      <c r="G96" s="83" t="s">
        <v>885</v>
      </c>
      <c r="H96" s="83" t="s">
        <v>893</v>
      </c>
      <c r="I96" s="85">
        <f>Planejamento2024[[#This Row],[Qnt de Itens]]*Planejamento2024[[#This Row],[Valor unitário]]</f>
        <v>0</v>
      </c>
      <c r="J96" s="83" t="s">
        <v>20</v>
      </c>
      <c r="K96" s="83" t="s">
        <v>415</v>
      </c>
      <c r="L96" s="86">
        <v>45292</v>
      </c>
      <c r="M96" s="83" t="s">
        <v>20</v>
      </c>
      <c r="N96" s="87"/>
      <c r="O96" s="83" t="s">
        <v>827</v>
      </c>
    </row>
    <row r="97" spans="1:15" ht="27">
      <c r="A97" s="81">
        <f t="shared" si="1"/>
        <v>96</v>
      </c>
      <c r="B97" s="89" t="s">
        <v>935</v>
      </c>
      <c r="C97" s="83" t="s">
        <v>34</v>
      </c>
      <c r="D97" s="83" t="s">
        <v>35</v>
      </c>
      <c r="E97" s="84">
        <v>150</v>
      </c>
      <c r="F97" s="85"/>
      <c r="G97" s="83" t="s">
        <v>885</v>
      </c>
      <c r="H97" s="83" t="s">
        <v>893</v>
      </c>
      <c r="I97" s="85">
        <f>Planejamento2024[[#This Row],[Qnt de Itens]]*Planejamento2024[[#This Row],[Valor unitário]]</f>
        <v>0</v>
      </c>
      <c r="J97" s="83" t="s">
        <v>20</v>
      </c>
      <c r="K97" s="83" t="s">
        <v>415</v>
      </c>
      <c r="L97" s="86">
        <v>45292</v>
      </c>
      <c r="M97" s="83" t="s">
        <v>20</v>
      </c>
      <c r="N97" s="87"/>
      <c r="O97" s="83" t="s">
        <v>827</v>
      </c>
    </row>
    <row r="98" spans="1:15" ht="18">
      <c r="A98" s="81">
        <f t="shared" si="1"/>
        <v>97</v>
      </c>
      <c r="B98" s="82" t="s">
        <v>936</v>
      </c>
      <c r="C98" s="83" t="s">
        <v>34</v>
      </c>
      <c r="D98" s="83" t="s">
        <v>168</v>
      </c>
      <c r="E98" s="84">
        <v>40</v>
      </c>
      <c r="F98" s="85"/>
      <c r="G98" s="83" t="s">
        <v>885</v>
      </c>
      <c r="H98" s="83" t="s">
        <v>893</v>
      </c>
      <c r="I98" s="85">
        <f>Planejamento2024[[#This Row],[Qnt de Itens]]*Planejamento2024[[#This Row],[Valor unitário]]</f>
        <v>0</v>
      </c>
      <c r="J98" s="83" t="s">
        <v>20</v>
      </c>
      <c r="K98" s="83" t="s">
        <v>415</v>
      </c>
      <c r="L98" s="86">
        <v>45292</v>
      </c>
      <c r="M98" s="83" t="s">
        <v>20</v>
      </c>
      <c r="N98" s="87"/>
      <c r="O98" s="83" t="s">
        <v>827</v>
      </c>
    </row>
    <row r="99" spans="1:15" ht="18">
      <c r="A99" s="81">
        <f t="shared" si="1"/>
        <v>98</v>
      </c>
      <c r="B99" s="82" t="s">
        <v>937</v>
      </c>
      <c r="C99" s="83" t="s">
        <v>34</v>
      </c>
      <c r="D99" s="83" t="s">
        <v>168</v>
      </c>
      <c r="E99" s="84">
        <v>40</v>
      </c>
      <c r="F99" s="85"/>
      <c r="G99" s="83" t="s">
        <v>885</v>
      </c>
      <c r="H99" s="83" t="s">
        <v>893</v>
      </c>
      <c r="I99" s="85">
        <f>Planejamento2024[[#This Row],[Qnt de Itens]]*Planejamento2024[[#This Row],[Valor unitário]]</f>
        <v>0</v>
      </c>
      <c r="J99" s="83" t="s">
        <v>20</v>
      </c>
      <c r="K99" s="83" t="s">
        <v>415</v>
      </c>
      <c r="L99" s="86">
        <v>45292</v>
      </c>
      <c r="M99" s="83" t="s">
        <v>20</v>
      </c>
      <c r="N99" s="87"/>
      <c r="O99" s="83" t="s">
        <v>827</v>
      </c>
    </row>
    <row r="100" spans="1:15" ht="18">
      <c r="A100" s="81">
        <f t="shared" si="1"/>
        <v>99</v>
      </c>
      <c r="B100" s="82" t="s">
        <v>938</v>
      </c>
      <c r="C100" s="83" t="s">
        <v>34</v>
      </c>
      <c r="D100" s="83" t="s">
        <v>168</v>
      </c>
      <c r="E100" s="84">
        <v>40</v>
      </c>
      <c r="F100" s="85"/>
      <c r="G100" s="83" t="s">
        <v>885</v>
      </c>
      <c r="H100" s="83" t="s">
        <v>893</v>
      </c>
      <c r="I100" s="85">
        <f>Planejamento2024[[#This Row],[Qnt de Itens]]*Planejamento2024[[#This Row],[Valor unitário]]</f>
        <v>0</v>
      </c>
      <c r="J100" s="83" t="s">
        <v>20</v>
      </c>
      <c r="K100" s="83" t="s">
        <v>415</v>
      </c>
      <c r="L100" s="86">
        <v>45292</v>
      </c>
      <c r="M100" s="83" t="s">
        <v>20</v>
      </c>
      <c r="N100" s="87"/>
      <c r="O100" s="83" t="s">
        <v>827</v>
      </c>
    </row>
    <row r="101" spans="1:15" ht="27">
      <c r="A101" s="81">
        <f t="shared" si="1"/>
        <v>100</v>
      </c>
      <c r="B101" s="90" t="s">
        <v>939</v>
      </c>
      <c r="C101" s="83" t="s">
        <v>34</v>
      </c>
      <c r="D101" s="83" t="s">
        <v>35</v>
      </c>
      <c r="E101" s="84">
        <v>20</v>
      </c>
      <c r="F101" s="85"/>
      <c r="G101" s="83" t="s">
        <v>885</v>
      </c>
      <c r="H101" s="83" t="s">
        <v>893</v>
      </c>
      <c r="I101" s="85">
        <f>Planejamento2024[[#This Row],[Qnt de Itens]]*Planejamento2024[[#This Row],[Valor unitário]]</f>
        <v>0</v>
      </c>
      <c r="J101" s="83" t="s">
        <v>20</v>
      </c>
      <c r="K101" s="83" t="s">
        <v>415</v>
      </c>
      <c r="L101" s="86">
        <v>45292</v>
      </c>
      <c r="M101" s="83" t="s">
        <v>20</v>
      </c>
      <c r="N101" s="87"/>
      <c r="O101" s="83" t="s">
        <v>827</v>
      </c>
    </row>
    <row r="102" spans="1:15" ht="27">
      <c r="A102" s="81">
        <f t="shared" si="1"/>
        <v>101</v>
      </c>
      <c r="B102" s="89" t="s">
        <v>940</v>
      </c>
      <c r="C102" s="83" t="s">
        <v>34</v>
      </c>
      <c r="D102" s="83" t="s">
        <v>35</v>
      </c>
      <c r="E102" s="84">
        <v>40</v>
      </c>
      <c r="F102" s="85"/>
      <c r="G102" s="83" t="s">
        <v>885</v>
      </c>
      <c r="H102" s="83" t="s">
        <v>893</v>
      </c>
      <c r="I102" s="85">
        <f>Planejamento2024[[#This Row],[Qnt de Itens]]*Planejamento2024[[#This Row],[Valor unitário]]</f>
        <v>0</v>
      </c>
      <c r="J102" s="83" t="s">
        <v>20</v>
      </c>
      <c r="K102" s="83" t="s">
        <v>415</v>
      </c>
      <c r="L102" s="86">
        <v>45292</v>
      </c>
      <c r="M102" s="83" t="s">
        <v>20</v>
      </c>
      <c r="N102" s="87"/>
      <c r="O102" s="83" t="s">
        <v>827</v>
      </c>
    </row>
    <row r="103" spans="1:15" ht="45">
      <c r="A103" s="81">
        <f t="shared" si="1"/>
        <v>102</v>
      </c>
      <c r="B103" s="90" t="s">
        <v>941</v>
      </c>
      <c r="C103" s="83" t="s">
        <v>34</v>
      </c>
      <c r="D103" s="83" t="s">
        <v>35</v>
      </c>
      <c r="E103" s="84">
        <v>1000</v>
      </c>
      <c r="F103" s="85"/>
      <c r="G103" s="83" t="s">
        <v>885</v>
      </c>
      <c r="H103" s="83" t="s">
        <v>893</v>
      </c>
      <c r="I103" s="85">
        <f>Planejamento2024[[#This Row],[Qnt de Itens]]*Planejamento2024[[#This Row],[Valor unitário]]</f>
        <v>0</v>
      </c>
      <c r="J103" s="83" t="s">
        <v>20</v>
      </c>
      <c r="K103" s="83" t="s">
        <v>415</v>
      </c>
      <c r="L103" s="86">
        <v>45292</v>
      </c>
      <c r="M103" s="83" t="s">
        <v>20</v>
      </c>
      <c r="N103" s="87"/>
      <c r="O103" s="83" t="s">
        <v>827</v>
      </c>
    </row>
    <row r="104" spans="1:15" ht="45">
      <c r="A104" s="81">
        <f t="shared" si="1"/>
        <v>103</v>
      </c>
      <c r="B104" s="89" t="s">
        <v>942</v>
      </c>
      <c r="C104" s="83" t="s">
        <v>34</v>
      </c>
      <c r="D104" s="83" t="s">
        <v>35</v>
      </c>
      <c r="E104" s="84">
        <v>500</v>
      </c>
      <c r="F104" s="85"/>
      <c r="G104" s="83" t="s">
        <v>885</v>
      </c>
      <c r="H104" s="83" t="s">
        <v>893</v>
      </c>
      <c r="I104" s="85">
        <f>Planejamento2024[[#This Row],[Qnt de Itens]]*Planejamento2024[[#This Row],[Valor unitário]]</f>
        <v>0</v>
      </c>
      <c r="J104" s="83" t="s">
        <v>20</v>
      </c>
      <c r="K104" s="83" t="s">
        <v>415</v>
      </c>
      <c r="L104" s="86">
        <v>45292</v>
      </c>
      <c r="M104" s="83" t="s">
        <v>20</v>
      </c>
      <c r="N104" s="87"/>
      <c r="O104" s="83" t="s">
        <v>827</v>
      </c>
    </row>
    <row r="105" spans="1:15" ht="27">
      <c r="A105" s="81">
        <f t="shared" si="1"/>
        <v>104</v>
      </c>
      <c r="B105" s="89" t="s">
        <v>943</v>
      </c>
      <c r="C105" s="83" t="s">
        <v>34</v>
      </c>
      <c r="D105" s="83" t="s">
        <v>35</v>
      </c>
      <c r="E105" s="84">
        <v>1000</v>
      </c>
      <c r="F105" s="85"/>
      <c r="G105" s="83" t="s">
        <v>885</v>
      </c>
      <c r="H105" s="83" t="s">
        <v>893</v>
      </c>
      <c r="I105" s="85">
        <f>Planejamento2024[[#This Row],[Qnt de Itens]]*Planejamento2024[[#This Row],[Valor unitário]]</f>
        <v>0</v>
      </c>
      <c r="J105" s="83" t="s">
        <v>20</v>
      </c>
      <c r="K105" s="83" t="s">
        <v>415</v>
      </c>
      <c r="L105" s="86">
        <v>45292</v>
      </c>
      <c r="M105" s="83" t="s">
        <v>20</v>
      </c>
      <c r="N105" s="87"/>
      <c r="O105" s="83" t="s">
        <v>827</v>
      </c>
    </row>
    <row r="106" spans="1:15" ht="18">
      <c r="A106" s="81">
        <f t="shared" si="1"/>
        <v>105</v>
      </c>
      <c r="B106" s="89" t="s">
        <v>944</v>
      </c>
      <c r="C106" s="83" t="s">
        <v>34</v>
      </c>
      <c r="D106" s="83" t="s">
        <v>35</v>
      </c>
      <c r="E106" s="84">
        <v>100</v>
      </c>
      <c r="F106" s="85"/>
      <c r="G106" s="83" t="s">
        <v>81</v>
      </c>
      <c r="H106" s="83" t="s">
        <v>893</v>
      </c>
      <c r="I106" s="85">
        <f>Planejamento2024[[#This Row],[Qnt de Itens]]*Planejamento2024[[#This Row],[Valor unitário]]</f>
        <v>0</v>
      </c>
      <c r="J106" s="83" t="s">
        <v>20</v>
      </c>
      <c r="K106" s="83" t="s">
        <v>415</v>
      </c>
      <c r="L106" s="86">
        <v>45292</v>
      </c>
      <c r="M106" s="83" t="s">
        <v>20</v>
      </c>
      <c r="N106" s="87"/>
      <c r="O106" s="83" t="s">
        <v>827</v>
      </c>
    </row>
    <row r="107" spans="1:15" ht="18">
      <c r="A107" s="81">
        <f t="shared" si="1"/>
        <v>106</v>
      </c>
      <c r="B107" s="89" t="s">
        <v>945</v>
      </c>
      <c r="C107" s="83" t="s">
        <v>34</v>
      </c>
      <c r="D107" s="83" t="s">
        <v>35</v>
      </c>
      <c r="E107" s="84">
        <v>300</v>
      </c>
      <c r="F107" s="85"/>
      <c r="G107" s="83" t="s">
        <v>81</v>
      </c>
      <c r="H107" s="83" t="s">
        <v>893</v>
      </c>
      <c r="I107" s="85">
        <f>Planejamento2024[[#This Row],[Qnt de Itens]]*Planejamento2024[[#This Row],[Valor unitário]]</f>
        <v>0</v>
      </c>
      <c r="J107" s="83" t="s">
        <v>20</v>
      </c>
      <c r="K107" s="83" t="s">
        <v>415</v>
      </c>
      <c r="L107" s="86">
        <v>45292</v>
      </c>
      <c r="M107" s="83" t="s">
        <v>20</v>
      </c>
      <c r="N107" s="87"/>
      <c r="O107" s="83" t="s">
        <v>827</v>
      </c>
    </row>
    <row r="108" spans="1:15" ht="18">
      <c r="A108" s="81">
        <f t="shared" si="1"/>
        <v>107</v>
      </c>
      <c r="B108" s="89" t="s">
        <v>946</v>
      </c>
      <c r="C108" s="83" t="s">
        <v>34</v>
      </c>
      <c r="D108" s="83" t="s">
        <v>35</v>
      </c>
      <c r="E108" s="84">
        <v>30</v>
      </c>
      <c r="F108" s="85"/>
      <c r="G108" s="83" t="s">
        <v>885</v>
      </c>
      <c r="H108" s="83" t="s">
        <v>893</v>
      </c>
      <c r="I108" s="85">
        <f>Planejamento2024[[#This Row],[Qnt de Itens]]*Planejamento2024[[#This Row],[Valor unitário]]</f>
        <v>0</v>
      </c>
      <c r="J108" s="83" t="s">
        <v>20</v>
      </c>
      <c r="K108" s="83" t="s">
        <v>415</v>
      </c>
      <c r="L108" s="86">
        <v>45292</v>
      </c>
      <c r="M108" s="83" t="s">
        <v>20</v>
      </c>
      <c r="N108" s="87"/>
      <c r="O108" s="83" t="s">
        <v>827</v>
      </c>
    </row>
    <row r="109" spans="1:15" ht="18">
      <c r="A109" s="81">
        <f t="shared" si="1"/>
        <v>108</v>
      </c>
      <c r="B109" s="90" t="s">
        <v>947</v>
      </c>
      <c r="C109" s="83" t="s">
        <v>34</v>
      </c>
      <c r="D109" s="83" t="s">
        <v>35</v>
      </c>
      <c r="E109" s="84">
        <v>30</v>
      </c>
      <c r="F109" s="85"/>
      <c r="G109" s="83" t="s">
        <v>81</v>
      </c>
      <c r="H109" s="83" t="s">
        <v>893</v>
      </c>
      <c r="I109" s="85">
        <f>Planejamento2024[[#This Row],[Qnt de Itens]]*Planejamento2024[[#This Row],[Valor unitário]]</f>
        <v>0</v>
      </c>
      <c r="J109" s="83" t="s">
        <v>20</v>
      </c>
      <c r="K109" s="83" t="s">
        <v>415</v>
      </c>
      <c r="L109" s="86">
        <v>45292</v>
      </c>
      <c r="M109" s="83" t="s">
        <v>20</v>
      </c>
      <c r="N109" s="87"/>
      <c r="O109" s="83" t="s">
        <v>827</v>
      </c>
    </row>
    <row r="110" spans="1:15" ht="18">
      <c r="A110" s="81">
        <f t="shared" si="1"/>
        <v>109</v>
      </c>
      <c r="B110" s="89" t="s">
        <v>948</v>
      </c>
      <c r="C110" s="83" t="s">
        <v>34</v>
      </c>
      <c r="D110" s="83" t="s">
        <v>35</v>
      </c>
      <c r="E110" s="84">
        <v>80</v>
      </c>
      <c r="F110" s="85"/>
      <c r="G110" s="83" t="s">
        <v>81</v>
      </c>
      <c r="H110" s="83" t="s">
        <v>893</v>
      </c>
      <c r="I110" s="85">
        <f>Planejamento2024[[#This Row],[Qnt de Itens]]*Planejamento2024[[#This Row],[Valor unitário]]</f>
        <v>0</v>
      </c>
      <c r="J110" s="83" t="s">
        <v>20</v>
      </c>
      <c r="K110" s="83" t="s">
        <v>415</v>
      </c>
      <c r="L110" s="86">
        <v>45292</v>
      </c>
      <c r="M110" s="83" t="s">
        <v>20</v>
      </c>
      <c r="N110" s="87"/>
      <c r="O110" s="83" t="s">
        <v>827</v>
      </c>
    </row>
    <row r="111" spans="1:15" ht="18">
      <c r="A111" s="81">
        <f t="shared" si="1"/>
        <v>110</v>
      </c>
      <c r="B111" s="82" t="s">
        <v>949</v>
      </c>
      <c r="C111" s="83" t="s">
        <v>34</v>
      </c>
      <c r="D111" s="83" t="s">
        <v>35</v>
      </c>
      <c r="E111" s="84">
        <v>35000</v>
      </c>
      <c r="F111" s="88">
        <v>6.35</v>
      </c>
      <c r="G111" s="83" t="s">
        <v>890</v>
      </c>
      <c r="H111" s="83" t="s">
        <v>950</v>
      </c>
      <c r="I111" s="85">
        <f>Planejamento2024[[#This Row],[Qnt de Itens]]*Planejamento2024[[#This Row],[Valor unitário]]</f>
        <v>222250</v>
      </c>
      <c r="J111" s="83" t="s">
        <v>20</v>
      </c>
      <c r="K111" s="83" t="s">
        <v>415</v>
      </c>
      <c r="L111" s="86">
        <v>45292</v>
      </c>
      <c r="M111" s="83" t="s">
        <v>38</v>
      </c>
      <c r="N111" s="87" t="s">
        <v>951</v>
      </c>
      <c r="O111" s="83" t="s">
        <v>827</v>
      </c>
    </row>
    <row r="112" spans="1:15" ht="36">
      <c r="A112" s="81">
        <f t="shared" si="1"/>
        <v>111</v>
      </c>
      <c r="B112" s="82" t="s">
        <v>952</v>
      </c>
      <c r="C112" s="83" t="s">
        <v>34</v>
      </c>
      <c r="D112" s="83" t="s">
        <v>35</v>
      </c>
      <c r="E112" s="84">
        <v>1800</v>
      </c>
      <c r="F112" s="85">
        <v>11.63</v>
      </c>
      <c r="G112" s="83" t="s">
        <v>953</v>
      </c>
      <c r="H112" s="83" t="s">
        <v>950</v>
      </c>
      <c r="I112" s="85">
        <f>Planejamento2024[[#This Row],[Qnt de Itens]]*Planejamento2024[[#This Row],[Valor unitário]]</f>
        <v>20934</v>
      </c>
      <c r="J112" s="83" t="s">
        <v>20</v>
      </c>
      <c r="K112" s="83" t="s">
        <v>415</v>
      </c>
      <c r="L112" s="86">
        <v>45292</v>
      </c>
      <c r="M112" s="83" t="s">
        <v>38</v>
      </c>
      <c r="N112" s="87" t="s">
        <v>951</v>
      </c>
      <c r="O112" s="83" t="s">
        <v>827</v>
      </c>
    </row>
    <row r="113" spans="1:15" ht="27">
      <c r="A113" s="81">
        <f t="shared" si="1"/>
        <v>112</v>
      </c>
      <c r="B113" s="82" t="s">
        <v>954</v>
      </c>
      <c r="C113" s="83" t="s">
        <v>34</v>
      </c>
      <c r="D113" s="83" t="s">
        <v>35</v>
      </c>
      <c r="E113" s="84">
        <v>1500</v>
      </c>
      <c r="F113" s="85">
        <v>4.6399999999999997</v>
      </c>
      <c r="G113" s="83" t="s">
        <v>885</v>
      </c>
      <c r="H113" s="83" t="s">
        <v>950</v>
      </c>
      <c r="I113" s="85">
        <f>Planejamento2024[[#This Row],[Qnt de Itens]]*Planejamento2024[[#This Row],[Valor unitário]]</f>
        <v>6959.9999999999991</v>
      </c>
      <c r="J113" s="83" t="s">
        <v>20</v>
      </c>
      <c r="K113" s="83" t="s">
        <v>492</v>
      </c>
      <c r="L113" s="86">
        <v>45292</v>
      </c>
      <c r="M113" s="83" t="s">
        <v>20</v>
      </c>
      <c r="N113" s="87" t="s">
        <v>955</v>
      </c>
      <c r="O113" s="83" t="s">
        <v>827</v>
      </c>
    </row>
    <row r="114" spans="1:15" ht="45">
      <c r="A114" s="81">
        <f t="shared" si="1"/>
        <v>113</v>
      </c>
      <c r="B114" s="82" t="s">
        <v>956</v>
      </c>
      <c r="C114" s="83" t="s">
        <v>34</v>
      </c>
      <c r="D114" s="83" t="s">
        <v>35</v>
      </c>
      <c r="E114" s="84">
        <v>5000</v>
      </c>
      <c r="F114" s="85">
        <v>2.96</v>
      </c>
      <c r="G114" s="83" t="s">
        <v>885</v>
      </c>
      <c r="H114" s="83" t="s">
        <v>950</v>
      </c>
      <c r="I114" s="85">
        <f>Planejamento2024[[#This Row],[Qnt de Itens]]*Planejamento2024[[#This Row],[Valor unitário]]</f>
        <v>14800</v>
      </c>
      <c r="J114" s="83" t="s">
        <v>20</v>
      </c>
      <c r="K114" s="83" t="s">
        <v>415</v>
      </c>
      <c r="L114" s="86">
        <v>45292</v>
      </c>
      <c r="M114" s="83" t="s">
        <v>20</v>
      </c>
      <c r="N114" s="87" t="s">
        <v>955</v>
      </c>
      <c r="O114" s="83" t="s">
        <v>827</v>
      </c>
    </row>
    <row r="115" spans="1:15" ht="18">
      <c r="A115" s="81">
        <f t="shared" si="1"/>
        <v>114</v>
      </c>
      <c r="B115" s="82" t="s">
        <v>957</v>
      </c>
      <c r="C115" s="83" t="s">
        <v>34</v>
      </c>
      <c r="D115" s="83" t="s">
        <v>35</v>
      </c>
      <c r="E115" s="84">
        <v>25000</v>
      </c>
      <c r="F115" s="85">
        <v>1.93</v>
      </c>
      <c r="G115" s="83" t="s">
        <v>885</v>
      </c>
      <c r="H115" s="83" t="s">
        <v>950</v>
      </c>
      <c r="I115" s="85">
        <f>Planejamento2024[[#This Row],[Qnt de Itens]]*Planejamento2024[[#This Row],[Valor unitário]]</f>
        <v>48250</v>
      </c>
      <c r="J115" s="83" t="s">
        <v>20</v>
      </c>
      <c r="K115" s="83" t="s">
        <v>415</v>
      </c>
      <c r="L115" s="86">
        <v>45292</v>
      </c>
      <c r="M115" s="83" t="s">
        <v>20</v>
      </c>
      <c r="N115" s="87" t="s">
        <v>955</v>
      </c>
      <c r="O115" s="83" t="s">
        <v>827</v>
      </c>
    </row>
    <row r="116" spans="1:15" ht="18">
      <c r="A116" s="81">
        <f t="shared" si="1"/>
        <v>115</v>
      </c>
      <c r="B116" s="82" t="s">
        <v>958</v>
      </c>
      <c r="C116" s="83" t="s">
        <v>34</v>
      </c>
      <c r="D116" s="83" t="s">
        <v>35</v>
      </c>
      <c r="E116" s="84">
        <v>1500</v>
      </c>
      <c r="F116" s="85">
        <v>9.49</v>
      </c>
      <c r="G116" s="83" t="s">
        <v>885</v>
      </c>
      <c r="H116" s="83" t="s">
        <v>950</v>
      </c>
      <c r="I116" s="85">
        <f>Planejamento2024[[#This Row],[Qnt de Itens]]*Planejamento2024[[#This Row],[Valor unitário]]</f>
        <v>14235</v>
      </c>
      <c r="J116" s="83" t="s">
        <v>20</v>
      </c>
      <c r="K116" s="83" t="s">
        <v>478</v>
      </c>
      <c r="L116" s="86">
        <v>45292</v>
      </c>
      <c r="M116" s="83" t="s">
        <v>20</v>
      </c>
      <c r="N116" s="87" t="s">
        <v>955</v>
      </c>
      <c r="O116" s="83" t="s">
        <v>827</v>
      </c>
    </row>
    <row r="117" spans="1:15" ht="27">
      <c r="A117" s="81">
        <f t="shared" si="1"/>
        <v>116</v>
      </c>
      <c r="B117" s="82" t="s">
        <v>959</v>
      </c>
      <c r="C117" s="83" t="s">
        <v>34</v>
      </c>
      <c r="D117" s="83" t="s">
        <v>35</v>
      </c>
      <c r="E117" s="84">
        <v>100</v>
      </c>
      <c r="F117" s="85">
        <v>40.61</v>
      </c>
      <c r="G117" s="83" t="s">
        <v>885</v>
      </c>
      <c r="H117" s="83" t="s">
        <v>950</v>
      </c>
      <c r="I117" s="85">
        <f>Planejamento2024[[#This Row],[Qnt de Itens]]*Planejamento2024[[#This Row],[Valor unitário]]</f>
        <v>4061</v>
      </c>
      <c r="J117" s="83" t="s">
        <v>20</v>
      </c>
      <c r="K117" s="83" t="s">
        <v>492</v>
      </c>
      <c r="L117" s="86">
        <v>45292</v>
      </c>
      <c r="M117" s="83" t="s">
        <v>20</v>
      </c>
      <c r="N117" s="87" t="s">
        <v>955</v>
      </c>
      <c r="O117" s="83" t="s">
        <v>827</v>
      </c>
    </row>
    <row r="118" spans="1:15" ht="45">
      <c r="A118" s="81">
        <f t="shared" si="1"/>
        <v>117</v>
      </c>
      <c r="B118" s="82" t="s">
        <v>960</v>
      </c>
      <c r="C118" s="83" t="s">
        <v>34</v>
      </c>
      <c r="D118" s="83" t="s">
        <v>35</v>
      </c>
      <c r="E118" s="84">
        <v>600</v>
      </c>
      <c r="F118" s="85">
        <v>187.01</v>
      </c>
      <c r="G118" s="83" t="s">
        <v>885</v>
      </c>
      <c r="H118" s="83" t="s">
        <v>950</v>
      </c>
      <c r="I118" s="85">
        <f>Planejamento2024[[#This Row],[Qnt de Itens]]*Planejamento2024[[#This Row],[Valor unitário]]</f>
        <v>112206</v>
      </c>
      <c r="J118" s="83" t="s">
        <v>20</v>
      </c>
      <c r="K118" s="83" t="s">
        <v>492</v>
      </c>
      <c r="L118" s="86">
        <v>45292</v>
      </c>
      <c r="M118" s="83" t="s">
        <v>20</v>
      </c>
      <c r="N118" s="87" t="s">
        <v>955</v>
      </c>
      <c r="O118" s="83" t="s">
        <v>827</v>
      </c>
    </row>
    <row r="119" spans="1:15" ht="27">
      <c r="A119" s="81">
        <f t="shared" si="1"/>
        <v>118</v>
      </c>
      <c r="B119" s="82" t="s">
        <v>961</v>
      </c>
      <c r="C119" s="83" t="s">
        <v>34</v>
      </c>
      <c r="D119" s="83" t="s">
        <v>35</v>
      </c>
      <c r="E119" s="84">
        <v>200</v>
      </c>
      <c r="F119" s="85">
        <v>337.34</v>
      </c>
      <c r="G119" s="83" t="s">
        <v>885</v>
      </c>
      <c r="H119" s="83" t="s">
        <v>950</v>
      </c>
      <c r="I119" s="85">
        <f>Planejamento2024[[#This Row],[Qnt de Itens]]*Planejamento2024[[#This Row],[Valor unitário]]</f>
        <v>67468</v>
      </c>
      <c r="J119" s="83" t="s">
        <v>20</v>
      </c>
      <c r="K119" s="83" t="s">
        <v>415</v>
      </c>
      <c r="L119" s="86">
        <v>45292</v>
      </c>
      <c r="M119" s="83" t="s">
        <v>20</v>
      </c>
      <c r="N119" s="87" t="s">
        <v>955</v>
      </c>
      <c r="O119" s="83" t="s">
        <v>827</v>
      </c>
    </row>
    <row r="120" spans="1:15" ht="27">
      <c r="A120" s="81">
        <f t="shared" si="1"/>
        <v>119</v>
      </c>
      <c r="B120" s="82" t="s">
        <v>962</v>
      </c>
      <c r="C120" s="83" t="s">
        <v>34</v>
      </c>
      <c r="D120" s="83" t="s">
        <v>35</v>
      </c>
      <c r="E120" s="84">
        <v>100</v>
      </c>
      <c r="F120" s="85">
        <v>262.74</v>
      </c>
      <c r="G120" s="83" t="s">
        <v>885</v>
      </c>
      <c r="H120" s="83" t="s">
        <v>950</v>
      </c>
      <c r="I120" s="85">
        <f>Planejamento2024[[#This Row],[Qnt de Itens]]*Planejamento2024[[#This Row],[Valor unitário]]</f>
        <v>26274</v>
      </c>
      <c r="J120" s="83" t="s">
        <v>20</v>
      </c>
      <c r="K120" s="83" t="s">
        <v>415</v>
      </c>
      <c r="L120" s="86">
        <v>45292</v>
      </c>
      <c r="M120" s="83" t="s">
        <v>20</v>
      </c>
      <c r="N120" s="87" t="s">
        <v>955</v>
      </c>
      <c r="O120" s="83" t="s">
        <v>827</v>
      </c>
    </row>
    <row r="121" spans="1:15" ht="18">
      <c r="A121" s="81">
        <f t="shared" si="1"/>
        <v>120</v>
      </c>
      <c r="B121" s="82" t="s">
        <v>963</v>
      </c>
      <c r="C121" s="83" t="s">
        <v>34</v>
      </c>
      <c r="D121" s="83" t="s">
        <v>35</v>
      </c>
      <c r="E121" s="84">
        <v>400</v>
      </c>
      <c r="F121" s="85">
        <v>3.59</v>
      </c>
      <c r="G121" s="83" t="s">
        <v>885</v>
      </c>
      <c r="H121" s="83" t="s">
        <v>950</v>
      </c>
      <c r="I121" s="85">
        <f>Planejamento2024[[#This Row],[Qnt de Itens]]*Planejamento2024[[#This Row],[Valor unitário]]</f>
        <v>1436</v>
      </c>
      <c r="J121" s="83" t="s">
        <v>20</v>
      </c>
      <c r="K121" s="83" t="s">
        <v>478</v>
      </c>
      <c r="L121" s="86">
        <v>45292</v>
      </c>
      <c r="M121" s="83" t="s">
        <v>20</v>
      </c>
      <c r="N121" s="87" t="s">
        <v>955</v>
      </c>
      <c r="O121" s="83" t="s">
        <v>827</v>
      </c>
    </row>
    <row r="122" spans="1:15" ht="18">
      <c r="A122" s="81">
        <f t="shared" si="1"/>
        <v>121</v>
      </c>
      <c r="B122" s="82" t="s">
        <v>964</v>
      </c>
      <c r="C122" s="83" t="s">
        <v>34</v>
      </c>
      <c r="D122" s="83" t="s">
        <v>35</v>
      </c>
      <c r="E122" s="84">
        <v>400</v>
      </c>
      <c r="F122" s="85">
        <v>0.41</v>
      </c>
      <c r="G122" s="83" t="s">
        <v>885</v>
      </c>
      <c r="H122" s="83" t="s">
        <v>950</v>
      </c>
      <c r="I122" s="85">
        <f>Planejamento2024[[#This Row],[Qnt de Itens]]*Planejamento2024[[#This Row],[Valor unitário]]</f>
        <v>164</v>
      </c>
      <c r="J122" s="83" t="s">
        <v>20</v>
      </c>
      <c r="K122" s="83" t="s">
        <v>478</v>
      </c>
      <c r="L122" s="86">
        <v>45292</v>
      </c>
      <c r="M122" s="83" t="s">
        <v>20</v>
      </c>
      <c r="N122" s="87" t="s">
        <v>955</v>
      </c>
      <c r="O122" s="83" t="s">
        <v>827</v>
      </c>
    </row>
    <row r="123" spans="1:15" ht="45">
      <c r="A123" s="81">
        <f t="shared" si="1"/>
        <v>122</v>
      </c>
      <c r="B123" s="82" t="s">
        <v>965</v>
      </c>
      <c r="C123" s="83" t="s">
        <v>34</v>
      </c>
      <c r="D123" s="83" t="s">
        <v>35</v>
      </c>
      <c r="E123" s="84">
        <v>15000</v>
      </c>
      <c r="F123" s="85">
        <v>1.21</v>
      </c>
      <c r="G123" s="83" t="s">
        <v>885</v>
      </c>
      <c r="H123" s="83" t="s">
        <v>950</v>
      </c>
      <c r="I123" s="85">
        <f>Planejamento2024[[#This Row],[Qnt de Itens]]*Planejamento2024[[#This Row],[Valor unitário]]</f>
        <v>18150</v>
      </c>
      <c r="J123" s="83" t="s">
        <v>20</v>
      </c>
      <c r="K123" s="83" t="s">
        <v>415</v>
      </c>
      <c r="L123" s="86">
        <v>45292</v>
      </c>
      <c r="M123" s="83" t="s">
        <v>20</v>
      </c>
      <c r="N123" s="87" t="s">
        <v>955</v>
      </c>
      <c r="O123" s="83" t="s">
        <v>827</v>
      </c>
    </row>
    <row r="124" spans="1:15" ht="36">
      <c r="A124" s="81">
        <f t="shared" si="1"/>
        <v>123</v>
      </c>
      <c r="B124" s="82" t="s">
        <v>966</v>
      </c>
      <c r="C124" s="83" t="s">
        <v>34</v>
      </c>
      <c r="D124" s="83" t="s">
        <v>35</v>
      </c>
      <c r="E124" s="84">
        <v>15000</v>
      </c>
      <c r="F124" s="85">
        <v>2.08</v>
      </c>
      <c r="G124" s="83" t="s">
        <v>885</v>
      </c>
      <c r="H124" s="83" t="s">
        <v>950</v>
      </c>
      <c r="I124" s="85">
        <f>Planejamento2024[[#This Row],[Qnt de Itens]]*Planejamento2024[[#This Row],[Valor unitário]]</f>
        <v>31200</v>
      </c>
      <c r="J124" s="83" t="s">
        <v>20</v>
      </c>
      <c r="K124" s="83" t="s">
        <v>415</v>
      </c>
      <c r="L124" s="86">
        <v>45292</v>
      </c>
      <c r="M124" s="83" t="s">
        <v>20</v>
      </c>
      <c r="N124" s="87" t="s">
        <v>955</v>
      </c>
      <c r="O124" s="83" t="s">
        <v>827</v>
      </c>
    </row>
    <row r="125" spans="1:15" ht="36">
      <c r="A125" s="81">
        <f t="shared" si="1"/>
        <v>124</v>
      </c>
      <c r="B125" s="82" t="s">
        <v>967</v>
      </c>
      <c r="C125" s="83" t="s">
        <v>34</v>
      </c>
      <c r="D125" s="83" t="s">
        <v>35</v>
      </c>
      <c r="E125" s="84">
        <v>4000</v>
      </c>
      <c r="F125" s="85">
        <v>25.96</v>
      </c>
      <c r="G125" s="83" t="s">
        <v>510</v>
      </c>
      <c r="H125" s="83" t="s">
        <v>950</v>
      </c>
      <c r="I125" s="85">
        <f>Planejamento2024[[#This Row],[Qnt de Itens]]*Planejamento2024[[#This Row],[Valor unitário]]</f>
        <v>103840</v>
      </c>
      <c r="J125" s="83" t="s">
        <v>20</v>
      </c>
      <c r="K125" s="83" t="s">
        <v>415</v>
      </c>
      <c r="L125" s="86">
        <v>45292</v>
      </c>
      <c r="M125" s="83" t="s">
        <v>20</v>
      </c>
      <c r="N125" s="87" t="s">
        <v>955</v>
      </c>
      <c r="O125" s="83" t="s">
        <v>827</v>
      </c>
    </row>
    <row r="126" spans="1:15" ht="81">
      <c r="A126" s="81">
        <f t="shared" si="1"/>
        <v>125</v>
      </c>
      <c r="B126" s="82" t="s">
        <v>968</v>
      </c>
      <c r="C126" s="83" t="s">
        <v>34</v>
      </c>
      <c r="D126" s="83" t="s">
        <v>35</v>
      </c>
      <c r="E126" s="84">
        <v>15000</v>
      </c>
      <c r="F126" s="85">
        <v>29.26</v>
      </c>
      <c r="G126" s="83" t="s">
        <v>885</v>
      </c>
      <c r="H126" s="83" t="s">
        <v>950</v>
      </c>
      <c r="I126" s="85">
        <f>Planejamento2024[[#This Row],[Qnt de Itens]]*Planejamento2024[[#This Row],[Valor unitário]]</f>
        <v>438900</v>
      </c>
      <c r="J126" s="83" t="s">
        <v>20</v>
      </c>
      <c r="K126" s="83" t="s">
        <v>415</v>
      </c>
      <c r="L126" s="86">
        <v>45292</v>
      </c>
      <c r="M126" s="83" t="s">
        <v>20</v>
      </c>
      <c r="N126" s="87" t="s">
        <v>955</v>
      </c>
      <c r="O126" s="83" t="s">
        <v>827</v>
      </c>
    </row>
    <row r="127" spans="1:15" ht="54">
      <c r="A127" s="81">
        <f t="shared" si="1"/>
        <v>126</v>
      </c>
      <c r="B127" s="82" t="s">
        <v>969</v>
      </c>
      <c r="C127" s="83" t="s">
        <v>34</v>
      </c>
      <c r="D127" s="83" t="s">
        <v>35</v>
      </c>
      <c r="E127" s="84">
        <v>40000</v>
      </c>
      <c r="F127" s="85">
        <v>13.83</v>
      </c>
      <c r="G127" s="83" t="s">
        <v>885</v>
      </c>
      <c r="H127" s="83" t="s">
        <v>950</v>
      </c>
      <c r="I127" s="85">
        <f>Planejamento2024[[#This Row],[Qnt de Itens]]*Planejamento2024[[#This Row],[Valor unitário]]</f>
        <v>553200</v>
      </c>
      <c r="J127" s="83" t="s">
        <v>20</v>
      </c>
      <c r="K127" s="83" t="s">
        <v>415</v>
      </c>
      <c r="L127" s="86">
        <v>45292</v>
      </c>
      <c r="M127" s="83" t="s">
        <v>20</v>
      </c>
      <c r="N127" s="87" t="s">
        <v>955</v>
      </c>
      <c r="O127" s="83" t="s">
        <v>827</v>
      </c>
    </row>
    <row r="128" spans="1:15" ht="54">
      <c r="A128" s="81">
        <f t="shared" si="1"/>
        <v>127</v>
      </c>
      <c r="B128" s="82" t="s">
        <v>970</v>
      </c>
      <c r="C128" s="83" t="s">
        <v>34</v>
      </c>
      <c r="D128" s="83" t="s">
        <v>35</v>
      </c>
      <c r="E128" s="84">
        <v>12000</v>
      </c>
      <c r="F128" s="85">
        <v>6.91</v>
      </c>
      <c r="G128" s="83" t="s">
        <v>885</v>
      </c>
      <c r="H128" s="83" t="s">
        <v>950</v>
      </c>
      <c r="I128" s="85">
        <f>Planejamento2024[[#This Row],[Qnt de Itens]]*Planejamento2024[[#This Row],[Valor unitário]]</f>
        <v>82920</v>
      </c>
      <c r="J128" s="83" t="s">
        <v>20</v>
      </c>
      <c r="K128" s="83" t="s">
        <v>415</v>
      </c>
      <c r="L128" s="86">
        <v>45292</v>
      </c>
      <c r="M128" s="83" t="s">
        <v>20</v>
      </c>
      <c r="N128" s="87" t="s">
        <v>955</v>
      </c>
      <c r="O128" s="83" t="s">
        <v>827</v>
      </c>
    </row>
    <row r="129" spans="1:15" ht="45">
      <c r="A129" s="81">
        <f t="shared" si="1"/>
        <v>128</v>
      </c>
      <c r="B129" s="82" t="s">
        <v>971</v>
      </c>
      <c r="C129" s="83" t="s">
        <v>34</v>
      </c>
      <c r="D129" s="83" t="s">
        <v>35</v>
      </c>
      <c r="E129" s="84">
        <v>100</v>
      </c>
      <c r="F129" s="85">
        <v>47.65</v>
      </c>
      <c r="G129" s="83" t="s">
        <v>885</v>
      </c>
      <c r="H129" s="83" t="s">
        <v>950</v>
      </c>
      <c r="I129" s="85">
        <f>Planejamento2024[[#This Row],[Qnt de Itens]]*Planejamento2024[[#This Row],[Valor unitário]]</f>
        <v>4765</v>
      </c>
      <c r="J129" s="83" t="s">
        <v>20</v>
      </c>
      <c r="K129" s="83" t="s">
        <v>415</v>
      </c>
      <c r="L129" s="86">
        <v>45292</v>
      </c>
      <c r="M129" s="83" t="s">
        <v>20</v>
      </c>
      <c r="N129" s="87" t="s">
        <v>955</v>
      </c>
      <c r="O129" s="83" t="s">
        <v>827</v>
      </c>
    </row>
    <row r="130" spans="1:15" ht="45">
      <c r="A130" s="81">
        <f t="shared" ref="A130:A193" si="2">ROW(A129)</f>
        <v>129</v>
      </c>
      <c r="B130" s="82" t="s">
        <v>972</v>
      </c>
      <c r="C130" s="83" t="s">
        <v>34</v>
      </c>
      <c r="D130" s="83" t="s">
        <v>35</v>
      </c>
      <c r="E130" s="84">
        <v>20000</v>
      </c>
      <c r="F130" s="85">
        <v>7.62</v>
      </c>
      <c r="G130" s="83" t="s">
        <v>885</v>
      </c>
      <c r="H130" s="83" t="s">
        <v>950</v>
      </c>
      <c r="I130" s="85">
        <f>Planejamento2024[[#This Row],[Qnt de Itens]]*Planejamento2024[[#This Row],[Valor unitário]]</f>
        <v>152400</v>
      </c>
      <c r="J130" s="83" t="s">
        <v>20</v>
      </c>
      <c r="K130" s="83" t="s">
        <v>415</v>
      </c>
      <c r="L130" s="86">
        <v>45292</v>
      </c>
      <c r="M130" s="83" t="s">
        <v>20</v>
      </c>
      <c r="N130" s="87" t="s">
        <v>955</v>
      </c>
      <c r="O130" s="83" t="s">
        <v>827</v>
      </c>
    </row>
    <row r="131" spans="1:15" ht="36">
      <c r="A131" s="81">
        <f t="shared" si="2"/>
        <v>130</v>
      </c>
      <c r="B131" s="82" t="s">
        <v>973</v>
      </c>
      <c r="C131" s="83" t="s">
        <v>34</v>
      </c>
      <c r="D131" s="83" t="s">
        <v>35</v>
      </c>
      <c r="E131" s="84">
        <v>3400</v>
      </c>
      <c r="F131" s="85">
        <v>18.34</v>
      </c>
      <c r="G131" s="83" t="s">
        <v>885</v>
      </c>
      <c r="H131" s="83" t="s">
        <v>950</v>
      </c>
      <c r="I131" s="85">
        <f>Planejamento2024[[#This Row],[Qnt de Itens]]*Planejamento2024[[#This Row],[Valor unitário]]</f>
        <v>62356</v>
      </c>
      <c r="J131" s="83" t="s">
        <v>20</v>
      </c>
      <c r="K131" s="83" t="s">
        <v>415</v>
      </c>
      <c r="L131" s="86">
        <v>45292</v>
      </c>
      <c r="M131" s="83" t="s">
        <v>20</v>
      </c>
      <c r="N131" s="87" t="s">
        <v>955</v>
      </c>
      <c r="O131" s="83" t="s">
        <v>827</v>
      </c>
    </row>
    <row r="132" spans="1:15" ht="81">
      <c r="A132" s="81">
        <f t="shared" si="2"/>
        <v>131</v>
      </c>
      <c r="B132" s="82" t="s">
        <v>974</v>
      </c>
      <c r="C132" s="83" t="s">
        <v>34</v>
      </c>
      <c r="D132" s="83" t="s">
        <v>35</v>
      </c>
      <c r="E132" s="84">
        <v>14000</v>
      </c>
      <c r="F132" s="85">
        <v>21.19</v>
      </c>
      <c r="G132" s="83" t="s">
        <v>885</v>
      </c>
      <c r="H132" s="83" t="s">
        <v>950</v>
      </c>
      <c r="I132" s="85">
        <f>Planejamento2024[[#This Row],[Qnt de Itens]]*Planejamento2024[[#This Row],[Valor unitário]]</f>
        <v>296660</v>
      </c>
      <c r="J132" s="83" t="s">
        <v>20</v>
      </c>
      <c r="K132" s="83" t="s">
        <v>415</v>
      </c>
      <c r="L132" s="86">
        <v>45292</v>
      </c>
      <c r="M132" s="83" t="s">
        <v>20</v>
      </c>
      <c r="N132" s="87" t="s">
        <v>955</v>
      </c>
      <c r="O132" s="83" t="s">
        <v>827</v>
      </c>
    </row>
    <row r="133" spans="1:15" ht="54">
      <c r="A133" s="81">
        <f t="shared" si="2"/>
        <v>132</v>
      </c>
      <c r="B133" s="82" t="s">
        <v>975</v>
      </c>
      <c r="C133" s="83" t="s">
        <v>34</v>
      </c>
      <c r="D133" s="83" t="s">
        <v>35</v>
      </c>
      <c r="E133" s="84">
        <v>1500</v>
      </c>
      <c r="F133" s="85">
        <v>12</v>
      </c>
      <c r="G133" s="83" t="s">
        <v>885</v>
      </c>
      <c r="H133" s="83" t="s">
        <v>950</v>
      </c>
      <c r="I133" s="85">
        <f>Planejamento2024[[#This Row],[Qnt de Itens]]*Planejamento2024[[#This Row],[Valor unitário]]</f>
        <v>18000</v>
      </c>
      <c r="J133" s="83" t="s">
        <v>20</v>
      </c>
      <c r="K133" s="83" t="s">
        <v>415</v>
      </c>
      <c r="L133" s="86">
        <v>45292</v>
      </c>
      <c r="M133" s="83" t="s">
        <v>20</v>
      </c>
      <c r="N133" s="87" t="s">
        <v>955</v>
      </c>
      <c r="O133" s="83" t="s">
        <v>827</v>
      </c>
    </row>
    <row r="134" spans="1:15" ht="45">
      <c r="A134" s="81">
        <f t="shared" si="2"/>
        <v>133</v>
      </c>
      <c r="B134" s="82" t="s">
        <v>976</v>
      </c>
      <c r="C134" s="83" t="s">
        <v>34</v>
      </c>
      <c r="D134" s="83" t="s">
        <v>35</v>
      </c>
      <c r="E134" s="84">
        <v>15000</v>
      </c>
      <c r="F134" s="85">
        <v>13.65</v>
      </c>
      <c r="G134" s="83" t="s">
        <v>977</v>
      </c>
      <c r="H134" s="83" t="s">
        <v>950</v>
      </c>
      <c r="I134" s="85">
        <f>Planejamento2024[[#This Row],[Qnt de Itens]]*Planejamento2024[[#This Row],[Valor unitário]]</f>
        <v>204750</v>
      </c>
      <c r="J134" s="83" t="s">
        <v>20</v>
      </c>
      <c r="K134" s="83" t="s">
        <v>415</v>
      </c>
      <c r="L134" s="86">
        <v>45292</v>
      </c>
      <c r="M134" s="83" t="s">
        <v>20</v>
      </c>
      <c r="N134" s="87" t="s">
        <v>955</v>
      </c>
      <c r="O134" s="83" t="s">
        <v>827</v>
      </c>
    </row>
    <row r="135" spans="1:15" ht="45">
      <c r="A135" s="81">
        <f t="shared" si="2"/>
        <v>134</v>
      </c>
      <c r="B135" s="82" t="s">
        <v>978</v>
      </c>
      <c r="C135" s="83" t="s">
        <v>34</v>
      </c>
      <c r="D135" s="83" t="s">
        <v>35</v>
      </c>
      <c r="E135" s="84">
        <v>10000</v>
      </c>
      <c r="F135" s="85">
        <v>41.49</v>
      </c>
      <c r="G135" s="83" t="s">
        <v>977</v>
      </c>
      <c r="H135" s="83" t="s">
        <v>950</v>
      </c>
      <c r="I135" s="85">
        <f>Planejamento2024[[#This Row],[Qnt de Itens]]*Planejamento2024[[#This Row],[Valor unitário]]</f>
        <v>414900</v>
      </c>
      <c r="J135" s="83" t="s">
        <v>20</v>
      </c>
      <c r="K135" s="83" t="s">
        <v>415</v>
      </c>
      <c r="L135" s="86">
        <v>45292</v>
      </c>
      <c r="M135" s="83" t="s">
        <v>20</v>
      </c>
      <c r="N135" s="87" t="s">
        <v>955</v>
      </c>
      <c r="O135" s="83" t="s">
        <v>827</v>
      </c>
    </row>
    <row r="136" spans="1:15" ht="27">
      <c r="A136" s="81">
        <f t="shared" si="2"/>
        <v>135</v>
      </c>
      <c r="B136" s="82" t="s">
        <v>979</v>
      </c>
      <c r="C136" s="83" t="s">
        <v>34</v>
      </c>
      <c r="D136" s="83" t="s">
        <v>35</v>
      </c>
      <c r="E136" s="84">
        <v>20000</v>
      </c>
      <c r="F136" s="85">
        <v>1.98</v>
      </c>
      <c r="G136" s="83" t="s">
        <v>885</v>
      </c>
      <c r="H136" s="83" t="s">
        <v>950</v>
      </c>
      <c r="I136" s="85">
        <f>Planejamento2024[[#This Row],[Qnt de Itens]]*Planejamento2024[[#This Row],[Valor unitário]]</f>
        <v>39600</v>
      </c>
      <c r="J136" s="83" t="s">
        <v>20</v>
      </c>
      <c r="K136" s="83" t="s">
        <v>415</v>
      </c>
      <c r="L136" s="86">
        <v>45292</v>
      </c>
      <c r="M136" s="83" t="s">
        <v>20</v>
      </c>
      <c r="N136" s="87" t="s">
        <v>955</v>
      </c>
      <c r="O136" s="83" t="s">
        <v>827</v>
      </c>
    </row>
    <row r="137" spans="1:15" ht="18">
      <c r="A137" s="81">
        <f t="shared" si="2"/>
        <v>136</v>
      </c>
      <c r="B137" s="82" t="s">
        <v>980</v>
      </c>
      <c r="C137" s="83" t="s">
        <v>34</v>
      </c>
      <c r="D137" s="83" t="s">
        <v>35</v>
      </c>
      <c r="E137" s="84">
        <v>20000</v>
      </c>
      <c r="F137" s="85">
        <v>5.89</v>
      </c>
      <c r="G137" s="83" t="s">
        <v>885</v>
      </c>
      <c r="H137" s="83" t="s">
        <v>950</v>
      </c>
      <c r="I137" s="85">
        <f>Planejamento2024[[#This Row],[Qnt de Itens]]*Planejamento2024[[#This Row],[Valor unitário]]</f>
        <v>117800</v>
      </c>
      <c r="J137" s="83" t="s">
        <v>20</v>
      </c>
      <c r="K137" s="83" t="s">
        <v>415</v>
      </c>
      <c r="L137" s="86">
        <v>45292</v>
      </c>
      <c r="M137" s="83" t="s">
        <v>20</v>
      </c>
      <c r="N137" s="87" t="s">
        <v>955</v>
      </c>
      <c r="O137" s="83" t="s">
        <v>827</v>
      </c>
    </row>
    <row r="138" spans="1:15" ht="27">
      <c r="A138" s="81">
        <f t="shared" si="2"/>
        <v>137</v>
      </c>
      <c r="B138" s="82" t="s">
        <v>981</v>
      </c>
      <c r="C138" s="83" t="s">
        <v>34</v>
      </c>
      <c r="D138" s="83" t="s">
        <v>35</v>
      </c>
      <c r="E138" s="84">
        <v>233</v>
      </c>
      <c r="F138" s="85">
        <v>31.95</v>
      </c>
      <c r="G138" s="83" t="s">
        <v>885</v>
      </c>
      <c r="H138" s="83" t="s">
        <v>950</v>
      </c>
      <c r="I138" s="85">
        <f>Planejamento2024[[#This Row],[Qnt de Itens]]*Planejamento2024[[#This Row],[Valor unitário]]</f>
        <v>7444.3499999999995</v>
      </c>
      <c r="J138" s="83" t="s">
        <v>20</v>
      </c>
      <c r="K138" s="83" t="s">
        <v>415</v>
      </c>
      <c r="L138" s="86">
        <v>45292</v>
      </c>
      <c r="M138" s="83" t="s">
        <v>20</v>
      </c>
      <c r="N138" s="87" t="s">
        <v>955</v>
      </c>
      <c r="O138" s="83" t="s">
        <v>827</v>
      </c>
    </row>
    <row r="139" spans="1:15" ht="18">
      <c r="A139" s="81">
        <f t="shared" si="2"/>
        <v>138</v>
      </c>
      <c r="B139" s="82" t="s">
        <v>982</v>
      </c>
      <c r="C139" s="83" t="s">
        <v>34</v>
      </c>
      <c r="D139" s="83" t="s">
        <v>35</v>
      </c>
      <c r="E139" s="84">
        <v>7000</v>
      </c>
      <c r="F139" s="85">
        <v>9.67</v>
      </c>
      <c r="G139" s="83" t="s">
        <v>510</v>
      </c>
      <c r="H139" s="83" t="s">
        <v>950</v>
      </c>
      <c r="I139" s="85">
        <f>Planejamento2024[[#This Row],[Qnt de Itens]]*Planejamento2024[[#This Row],[Valor unitário]]</f>
        <v>67690</v>
      </c>
      <c r="J139" s="83" t="s">
        <v>20</v>
      </c>
      <c r="K139" s="83" t="s">
        <v>415</v>
      </c>
      <c r="L139" s="86">
        <v>45292</v>
      </c>
      <c r="M139" s="83" t="s">
        <v>20</v>
      </c>
      <c r="N139" s="87" t="s">
        <v>955</v>
      </c>
      <c r="O139" s="83" t="s">
        <v>827</v>
      </c>
    </row>
    <row r="140" spans="1:15" ht="18">
      <c r="A140" s="81">
        <f t="shared" si="2"/>
        <v>139</v>
      </c>
      <c r="B140" s="82" t="s">
        <v>983</v>
      </c>
      <c r="C140" s="83" t="s">
        <v>34</v>
      </c>
      <c r="D140" s="83" t="s">
        <v>35</v>
      </c>
      <c r="E140" s="84">
        <v>7000</v>
      </c>
      <c r="F140" s="85">
        <v>3.32</v>
      </c>
      <c r="G140" s="83" t="s">
        <v>885</v>
      </c>
      <c r="H140" s="83" t="s">
        <v>950</v>
      </c>
      <c r="I140" s="85">
        <f>Planejamento2024[[#This Row],[Qnt de Itens]]*Planejamento2024[[#This Row],[Valor unitário]]</f>
        <v>23240</v>
      </c>
      <c r="J140" s="83" t="s">
        <v>20</v>
      </c>
      <c r="K140" s="83" t="s">
        <v>415</v>
      </c>
      <c r="L140" s="86">
        <v>45292</v>
      </c>
      <c r="M140" s="83" t="s">
        <v>20</v>
      </c>
      <c r="N140" s="87" t="s">
        <v>955</v>
      </c>
      <c r="O140" s="83" t="s">
        <v>827</v>
      </c>
    </row>
    <row r="141" spans="1:15" ht="18">
      <c r="A141" s="81">
        <f t="shared" si="2"/>
        <v>140</v>
      </c>
      <c r="B141" s="82" t="s">
        <v>984</v>
      </c>
      <c r="C141" s="83" t="s">
        <v>34</v>
      </c>
      <c r="D141" s="83" t="s">
        <v>35</v>
      </c>
      <c r="E141" s="84">
        <v>1000</v>
      </c>
      <c r="F141" s="85">
        <v>12.44</v>
      </c>
      <c r="G141" s="83" t="s">
        <v>885</v>
      </c>
      <c r="H141" s="83" t="s">
        <v>950</v>
      </c>
      <c r="I141" s="85">
        <f>Planejamento2024[[#This Row],[Qnt de Itens]]*Planejamento2024[[#This Row],[Valor unitário]]</f>
        <v>12440</v>
      </c>
      <c r="J141" s="83" t="s">
        <v>20</v>
      </c>
      <c r="K141" s="83" t="s">
        <v>415</v>
      </c>
      <c r="L141" s="86">
        <v>45292</v>
      </c>
      <c r="M141" s="83" t="s">
        <v>20</v>
      </c>
      <c r="N141" s="87" t="s">
        <v>955</v>
      </c>
      <c r="O141" s="83" t="s">
        <v>827</v>
      </c>
    </row>
    <row r="142" spans="1:15" ht="27">
      <c r="A142" s="81">
        <f t="shared" si="2"/>
        <v>141</v>
      </c>
      <c r="B142" s="82" t="s">
        <v>985</v>
      </c>
      <c r="C142" s="83" t="s">
        <v>34</v>
      </c>
      <c r="D142" s="83" t="s">
        <v>35</v>
      </c>
      <c r="E142" s="84">
        <v>25000</v>
      </c>
      <c r="F142" s="85">
        <v>20.27</v>
      </c>
      <c r="G142" s="83" t="s">
        <v>986</v>
      </c>
      <c r="H142" s="83" t="s">
        <v>950</v>
      </c>
      <c r="I142" s="85">
        <f>Planejamento2024[[#This Row],[Qnt de Itens]]*Planejamento2024[[#This Row],[Valor unitário]]</f>
        <v>506750</v>
      </c>
      <c r="J142" s="83" t="s">
        <v>20</v>
      </c>
      <c r="K142" s="83" t="s">
        <v>478</v>
      </c>
      <c r="L142" s="86">
        <v>45292</v>
      </c>
      <c r="M142" s="83" t="s">
        <v>20</v>
      </c>
      <c r="N142" s="87" t="s">
        <v>955</v>
      </c>
      <c r="O142" s="83" t="s">
        <v>827</v>
      </c>
    </row>
    <row r="143" spans="1:15" ht="18">
      <c r="A143" s="81">
        <f t="shared" si="2"/>
        <v>142</v>
      </c>
      <c r="B143" s="82" t="s">
        <v>987</v>
      </c>
      <c r="C143" s="83" t="s">
        <v>34</v>
      </c>
      <c r="D143" s="83" t="s">
        <v>35</v>
      </c>
      <c r="E143" s="84">
        <v>1000</v>
      </c>
      <c r="F143" s="85">
        <v>18.59</v>
      </c>
      <c r="G143" s="83" t="s">
        <v>988</v>
      </c>
      <c r="H143" s="83" t="s">
        <v>950</v>
      </c>
      <c r="I143" s="85">
        <f>Planejamento2024[[#This Row],[Qnt de Itens]]*Planejamento2024[[#This Row],[Valor unitário]]</f>
        <v>18590</v>
      </c>
      <c r="J143" s="83" t="s">
        <v>20</v>
      </c>
      <c r="K143" s="83" t="s">
        <v>415</v>
      </c>
      <c r="L143" s="86">
        <v>45292</v>
      </c>
      <c r="M143" s="83" t="s">
        <v>38</v>
      </c>
      <c r="N143" s="87" t="s">
        <v>951</v>
      </c>
      <c r="O143" s="83" t="s">
        <v>827</v>
      </c>
    </row>
    <row r="144" spans="1:15" ht="72">
      <c r="A144" s="81">
        <f t="shared" si="2"/>
        <v>143</v>
      </c>
      <c r="B144" s="82" t="s">
        <v>989</v>
      </c>
      <c r="C144" s="83" t="s">
        <v>34</v>
      </c>
      <c r="D144" s="83" t="s">
        <v>35</v>
      </c>
      <c r="E144" s="84">
        <v>150</v>
      </c>
      <c r="F144" s="85">
        <v>80.45</v>
      </c>
      <c r="G144" s="83" t="s">
        <v>990</v>
      </c>
      <c r="H144" s="83" t="s">
        <v>950</v>
      </c>
      <c r="I144" s="85">
        <f>Planejamento2024[[#This Row],[Qnt de Itens]]*Planejamento2024[[#This Row],[Valor unitário]]</f>
        <v>12067.5</v>
      </c>
      <c r="J144" s="83" t="s">
        <v>20</v>
      </c>
      <c r="K144" s="83" t="s">
        <v>478</v>
      </c>
      <c r="L144" s="86">
        <v>45292</v>
      </c>
      <c r="M144" s="83" t="s">
        <v>20</v>
      </c>
      <c r="N144" s="87" t="s">
        <v>955</v>
      </c>
      <c r="O144" s="83" t="s">
        <v>827</v>
      </c>
    </row>
    <row r="145" spans="1:15" ht="63">
      <c r="A145" s="81">
        <f t="shared" si="2"/>
        <v>144</v>
      </c>
      <c r="B145" s="82" t="s">
        <v>991</v>
      </c>
      <c r="C145" s="83" t="s">
        <v>34</v>
      </c>
      <c r="D145" s="83" t="s">
        <v>35</v>
      </c>
      <c r="E145" s="84">
        <v>150</v>
      </c>
      <c r="F145" s="85">
        <v>80.45</v>
      </c>
      <c r="G145" s="83" t="s">
        <v>990</v>
      </c>
      <c r="H145" s="83" t="s">
        <v>950</v>
      </c>
      <c r="I145" s="85">
        <f>Planejamento2024[[#This Row],[Qnt de Itens]]*Planejamento2024[[#This Row],[Valor unitário]]</f>
        <v>12067.5</v>
      </c>
      <c r="J145" s="83" t="s">
        <v>20</v>
      </c>
      <c r="K145" s="83" t="s">
        <v>478</v>
      </c>
      <c r="L145" s="86">
        <v>45292</v>
      </c>
      <c r="M145" s="83" t="s">
        <v>20</v>
      </c>
      <c r="N145" s="87" t="s">
        <v>955</v>
      </c>
      <c r="O145" s="83" t="s">
        <v>827</v>
      </c>
    </row>
    <row r="146" spans="1:15" ht="63">
      <c r="A146" s="81">
        <f t="shared" si="2"/>
        <v>145</v>
      </c>
      <c r="B146" s="82" t="s">
        <v>992</v>
      </c>
      <c r="C146" s="83" t="s">
        <v>34</v>
      </c>
      <c r="D146" s="83" t="s">
        <v>35</v>
      </c>
      <c r="E146" s="84">
        <v>150</v>
      </c>
      <c r="F146" s="85">
        <v>80.45</v>
      </c>
      <c r="G146" s="83" t="s">
        <v>990</v>
      </c>
      <c r="H146" s="83" t="s">
        <v>950</v>
      </c>
      <c r="I146" s="85">
        <f>Planejamento2024[[#This Row],[Qnt de Itens]]*Planejamento2024[[#This Row],[Valor unitário]]</f>
        <v>12067.5</v>
      </c>
      <c r="J146" s="83" t="s">
        <v>20</v>
      </c>
      <c r="K146" s="83" t="s">
        <v>478</v>
      </c>
      <c r="L146" s="86">
        <v>45292</v>
      </c>
      <c r="M146" s="83" t="s">
        <v>20</v>
      </c>
      <c r="N146" s="87" t="s">
        <v>955</v>
      </c>
      <c r="O146" s="83" t="s">
        <v>827</v>
      </c>
    </row>
    <row r="147" spans="1:15" ht="27">
      <c r="A147" s="81">
        <f t="shared" si="2"/>
        <v>146</v>
      </c>
      <c r="B147" s="82" t="s">
        <v>993</v>
      </c>
      <c r="C147" s="83" t="s">
        <v>34</v>
      </c>
      <c r="D147" s="83" t="s">
        <v>35</v>
      </c>
      <c r="E147" s="84">
        <v>2000</v>
      </c>
      <c r="F147" s="85">
        <v>19.5</v>
      </c>
      <c r="G147" s="83" t="s">
        <v>885</v>
      </c>
      <c r="H147" s="83" t="s">
        <v>950</v>
      </c>
      <c r="I147" s="85">
        <f>Planejamento2024[[#This Row],[Qnt de Itens]]*Planejamento2024[[#This Row],[Valor unitário]]</f>
        <v>39000</v>
      </c>
      <c r="J147" s="83" t="s">
        <v>20</v>
      </c>
      <c r="K147" s="83" t="s">
        <v>415</v>
      </c>
      <c r="L147" s="86">
        <v>45292</v>
      </c>
      <c r="M147" s="83" t="s">
        <v>38</v>
      </c>
      <c r="N147" s="87" t="s">
        <v>951</v>
      </c>
      <c r="O147" s="83" t="s">
        <v>827</v>
      </c>
    </row>
    <row r="148" spans="1:15" ht="27">
      <c r="A148" s="81">
        <f t="shared" si="2"/>
        <v>147</v>
      </c>
      <c r="B148" s="82" t="s">
        <v>994</v>
      </c>
      <c r="C148" s="83" t="s">
        <v>34</v>
      </c>
      <c r="D148" s="83" t="s">
        <v>35</v>
      </c>
      <c r="E148" s="84">
        <v>540</v>
      </c>
      <c r="F148" s="85">
        <v>21.35</v>
      </c>
      <c r="G148" s="83" t="s">
        <v>510</v>
      </c>
      <c r="H148" s="83" t="s">
        <v>950</v>
      </c>
      <c r="I148" s="85">
        <f>Planejamento2024[[#This Row],[Qnt de Itens]]*Planejamento2024[[#This Row],[Valor unitário]]</f>
        <v>11529</v>
      </c>
      <c r="J148" s="83" t="s">
        <v>20</v>
      </c>
      <c r="K148" s="83" t="s">
        <v>415</v>
      </c>
      <c r="L148" s="86">
        <v>45292</v>
      </c>
      <c r="M148" s="83" t="s">
        <v>38</v>
      </c>
      <c r="N148" s="87" t="s">
        <v>951</v>
      </c>
      <c r="O148" s="83" t="s">
        <v>827</v>
      </c>
    </row>
    <row r="149" spans="1:15" ht="81">
      <c r="A149" s="81">
        <f t="shared" si="2"/>
        <v>148</v>
      </c>
      <c r="B149" s="82" t="s">
        <v>995</v>
      </c>
      <c r="C149" s="83" t="s">
        <v>34</v>
      </c>
      <c r="D149" s="83" t="s">
        <v>35</v>
      </c>
      <c r="E149" s="84">
        <v>20000</v>
      </c>
      <c r="F149" s="85">
        <v>12.43</v>
      </c>
      <c r="G149" s="83" t="s">
        <v>885</v>
      </c>
      <c r="H149" s="83" t="s">
        <v>950</v>
      </c>
      <c r="I149" s="85">
        <f>Planejamento2024[[#This Row],[Qnt de Itens]]*Planejamento2024[[#This Row],[Valor unitário]]</f>
        <v>248600</v>
      </c>
      <c r="J149" s="83" t="s">
        <v>20</v>
      </c>
      <c r="K149" s="83" t="s">
        <v>415</v>
      </c>
      <c r="L149" s="86">
        <v>45292</v>
      </c>
      <c r="M149" s="83" t="s">
        <v>20</v>
      </c>
      <c r="N149" s="87" t="s">
        <v>955</v>
      </c>
      <c r="O149" s="83" t="s">
        <v>827</v>
      </c>
    </row>
    <row r="150" spans="1:15" ht="18">
      <c r="A150" s="81">
        <f t="shared" si="2"/>
        <v>149</v>
      </c>
      <c r="B150" s="82" t="s">
        <v>996</v>
      </c>
      <c r="C150" s="83" t="s">
        <v>34</v>
      </c>
      <c r="D150" s="83" t="s">
        <v>35</v>
      </c>
      <c r="E150" s="84">
        <v>2600</v>
      </c>
      <c r="F150" s="85">
        <v>1.9</v>
      </c>
      <c r="G150" s="83" t="s">
        <v>885</v>
      </c>
      <c r="H150" s="83" t="s">
        <v>950</v>
      </c>
      <c r="I150" s="85">
        <f>Planejamento2024[[#This Row],[Qnt de Itens]]*Planejamento2024[[#This Row],[Valor unitário]]</f>
        <v>4940</v>
      </c>
      <c r="J150" s="83" t="s">
        <v>20</v>
      </c>
      <c r="K150" s="83" t="s">
        <v>415</v>
      </c>
      <c r="L150" s="86">
        <v>45292</v>
      </c>
      <c r="M150" s="83" t="s">
        <v>38</v>
      </c>
      <c r="N150" s="87" t="s">
        <v>951</v>
      </c>
      <c r="O150" s="83" t="s">
        <v>827</v>
      </c>
    </row>
    <row r="151" spans="1:15" ht="72">
      <c r="A151" s="81">
        <f t="shared" si="2"/>
        <v>150</v>
      </c>
      <c r="B151" s="82" t="s">
        <v>997</v>
      </c>
      <c r="C151" s="83" t="s">
        <v>34</v>
      </c>
      <c r="D151" s="83" t="s">
        <v>35</v>
      </c>
      <c r="E151" s="84">
        <v>20000</v>
      </c>
      <c r="F151" s="85">
        <v>23.2</v>
      </c>
      <c r="G151" s="83" t="s">
        <v>885</v>
      </c>
      <c r="H151" s="83" t="s">
        <v>950</v>
      </c>
      <c r="I151" s="85">
        <f>Planejamento2024[[#This Row],[Qnt de Itens]]*Planejamento2024[[#This Row],[Valor unitário]]</f>
        <v>464000</v>
      </c>
      <c r="J151" s="83" t="s">
        <v>20</v>
      </c>
      <c r="K151" s="83" t="s">
        <v>415</v>
      </c>
      <c r="L151" s="86">
        <v>45292</v>
      </c>
      <c r="M151" s="83" t="s">
        <v>20</v>
      </c>
      <c r="N151" s="87" t="s">
        <v>955</v>
      </c>
      <c r="O151" s="83" t="s">
        <v>827</v>
      </c>
    </row>
    <row r="152" spans="1:15" ht="36">
      <c r="A152" s="81">
        <f t="shared" si="2"/>
        <v>151</v>
      </c>
      <c r="B152" s="82" t="s">
        <v>998</v>
      </c>
      <c r="C152" s="83" t="s">
        <v>34</v>
      </c>
      <c r="D152" s="83" t="s">
        <v>35</v>
      </c>
      <c r="E152" s="84">
        <v>1200</v>
      </c>
      <c r="F152" s="85">
        <v>5.75</v>
      </c>
      <c r="G152" s="83" t="s">
        <v>953</v>
      </c>
      <c r="H152" s="83" t="s">
        <v>950</v>
      </c>
      <c r="I152" s="85">
        <f>Planejamento2024[[#This Row],[Qnt de Itens]]*Planejamento2024[[#This Row],[Valor unitário]]</f>
        <v>6900</v>
      </c>
      <c r="J152" s="83" t="s">
        <v>20</v>
      </c>
      <c r="K152" s="83" t="s">
        <v>415</v>
      </c>
      <c r="L152" s="86">
        <v>45292</v>
      </c>
      <c r="M152" s="83" t="s">
        <v>38</v>
      </c>
      <c r="N152" s="87" t="s">
        <v>951</v>
      </c>
      <c r="O152" s="83" t="s">
        <v>827</v>
      </c>
    </row>
    <row r="153" spans="1:15" ht="27">
      <c r="A153" s="81">
        <f t="shared" si="2"/>
        <v>152</v>
      </c>
      <c r="B153" s="82" t="s">
        <v>999</v>
      </c>
      <c r="C153" s="83" t="s">
        <v>34</v>
      </c>
      <c r="D153" s="83" t="s">
        <v>35</v>
      </c>
      <c r="E153" s="84">
        <v>7000</v>
      </c>
      <c r="F153" s="85">
        <v>3.54</v>
      </c>
      <c r="G153" s="83" t="s">
        <v>885</v>
      </c>
      <c r="H153" s="83" t="s">
        <v>950</v>
      </c>
      <c r="I153" s="85">
        <f>Planejamento2024[[#This Row],[Qnt de Itens]]*Planejamento2024[[#This Row],[Valor unitário]]</f>
        <v>24780</v>
      </c>
      <c r="J153" s="83" t="s">
        <v>20</v>
      </c>
      <c r="K153" s="83" t="s">
        <v>415</v>
      </c>
      <c r="L153" s="86">
        <v>45292</v>
      </c>
      <c r="M153" s="83" t="s">
        <v>20</v>
      </c>
      <c r="N153" s="87" t="s">
        <v>955</v>
      </c>
      <c r="O153" s="83" t="s">
        <v>827</v>
      </c>
    </row>
    <row r="154" spans="1:15" ht="27">
      <c r="A154" s="81">
        <f t="shared" si="2"/>
        <v>153</v>
      </c>
      <c r="B154" s="82" t="s">
        <v>1000</v>
      </c>
      <c r="C154" s="83" t="s">
        <v>34</v>
      </c>
      <c r="D154" s="83" t="s">
        <v>35</v>
      </c>
      <c r="E154" s="84">
        <v>7000</v>
      </c>
      <c r="F154" s="85">
        <v>3.54</v>
      </c>
      <c r="G154" s="83" t="s">
        <v>885</v>
      </c>
      <c r="H154" s="83" t="s">
        <v>950</v>
      </c>
      <c r="I154" s="85">
        <f>Planejamento2024[[#This Row],[Qnt de Itens]]*Planejamento2024[[#This Row],[Valor unitário]]</f>
        <v>24780</v>
      </c>
      <c r="J154" s="83" t="s">
        <v>20</v>
      </c>
      <c r="K154" s="83" t="s">
        <v>415</v>
      </c>
      <c r="L154" s="86">
        <v>45292</v>
      </c>
      <c r="M154" s="83" t="s">
        <v>20</v>
      </c>
      <c r="N154" s="87" t="s">
        <v>955</v>
      </c>
      <c r="O154" s="83" t="s">
        <v>827</v>
      </c>
    </row>
    <row r="155" spans="1:15" ht="27">
      <c r="A155" s="81">
        <f t="shared" si="2"/>
        <v>154</v>
      </c>
      <c r="B155" s="82" t="s">
        <v>1001</v>
      </c>
      <c r="C155" s="83" t="s">
        <v>34</v>
      </c>
      <c r="D155" s="83" t="s">
        <v>35</v>
      </c>
      <c r="E155" s="84">
        <v>7000</v>
      </c>
      <c r="F155" s="85">
        <v>3.54</v>
      </c>
      <c r="G155" s="83" t="s">
        <v>885</v>
      </c>
      <c r="H155" s="83" t="s">
        <v>950</v>
      </c>
      <c r="I155" s="85">
        <f>Planejamento2024[[#This Row],[Qnt de Itens]]*Planejamento2024[[#This Row],[Valor unitário]]</f>
        <v>24780</v>
      </c>
      <c r="J155" s="83" t="s">
        <v>20</v>
      </c>
      <c r="K155" s="83" t="s">
        <v>415</v>
      </c>
      <c r="L155" s="86">
        <v>45292</v>
      </c>
      <c r="M155" s="83" t="s">
        <v>20</v>
      </c>
      <c r="N155" s="87" t="s">
        <v>955</v>
      </c>
      <c r="O155" s="83" t="s">
        <v>827</v>
      </c>
    </row>
    <row r="156" spans="1:15" ht="27">
      <c r="A156" s="81">
        <f t="shared" si="2"/>
        <v>155</v>
      </c>
      <c r="B156" s="82" t="s">
        <v>1002</v>
      </c>
      <c r="C156" s="83" t="s">
        <v>34</v>
      </c>
      <c r="D156" s="83" t="s">
        <v>35</v>
      </c>
      <c r="E156" s="84">
        <v>7000</v>
      </c>
      <c r="F156" s="85">
        <v>3.54</v>
      </c>
      <c r="G156" s="83" t="s">
        <v>885</v>
      </c>
      <c r="H156" s="83" t="s">
        <v>950</v>
      </c>
      <c r="I156" s="85">
        <f>Planejamento2024[[#This Row],[Qnt de Itens]]*Planejamento2024[[#This Row],[Valor unitário]]</f>
        <v>24780</v>
      </c>
      <c r="J156" s="83" t="s">
        <v>20</v>
      </c>
      <c r="K156" s="83" t="s">
        <v>415</v>
      </c>
      <c r="L156" s="86">
        <v>45292</v>
      </c>
      <c r="M156" s="83" t="s">
        <v>20</v>
      </c>
      <c r="N156" s="87" t="s">
        <v>955</v>
      </c>
      <c r="O156" s="83" t="s">
        <v>827</v>
      </c>
    </row>
    <row r="157" spans="1:15" ht="27">
      <c r="A157" s="81">
        <f t="shared" si="2"/>
        <v>156</v>
      </c>
      <c r="B157" s="82" t="s">
        <v>1003</v>
      </c>
      <c r="C157" s="83" t="s">
        <v>34</v>
      </c>
      <c r="D157" s="83" t="s">
        <v>35</v>
      </c>
      <c r="E157" s="84">
        <v>7000</v>
      </c>
      <c r="F157" s="85">
        <v>3.54</v>
      </c>
      <c r="G157" s="83" t="s">
        <v>885</v>
      </c>
      <c r="H157" s="83" t="s">
        <v>950</v>
      </c>
      <c r="I157" s="85">
        <f>Planejamento2024[[#This Row],[Qnt de Itens]]*Planejamento2024[[#This Row],[Valor unitário]]</f>
        <v>24780</v>
      </c>
      <c r="J157" s="83" t="s">
        <v>20</v>
      </c>
      <c r="K157" s="83" t="s">
        <v>415</v>
      </c>
      <c r="L157" s="86">
        <v>45292</v>
      </c>
      <c r="M157" s="83" t="s">
        <v>20</v>
      </c>
      <c r="N157" s="87" t="s">
        <v>955</v>
      </c>
      <c r="O157" s="83" t="s">
        <v>827</v>
      </c>
    </row>
    <row r="158" spans="1:15" ht="27">
      <c r="A158" s="81">
        <f t="shared" si="2"/>
        <v>157</v>
      </c>
      <c r="B158" s="82" t="s">
        <v>1004</v>
      </c>
      <c r="C158" s="83" t="s">
        <v>34</v>
      </c>
      <c r="D158" s="83" t="s">
        <v>35</v>
      </c>
      <c r="E158" s="84">
        <v>7000</v>
      </c>
      <c r="F158" s="85">
        <v>3.54</v>
      </c>
      <c r="G158" s="83" t="s">
        <v>885</v>
      </c>
      <c r="H158" s="83" t="s">
        <v>950</v>
      </c>
      <c r="I158" s="85">
        <f>Planejamento2024[[#This Row],[Qnt de Itens]]*Planejamento2024[[#This Row],[Valor unitário]]</f>
        <v>24780</v>
      </c>
      <c r="J158" s="83" t="s">
        <v>20</v>
      </c>
      <c r="K158" s="83" t="s">
        <v>415</v>
      </c>
      <c r="L158" s="86">
        <v>45292</v>
      </c>
      <c r="M158" s="83" t="s">
        <v>20</v>
      </c>
      <c r="N158" s="87" t="s">
        <v>955</v>
      </c>
      <c r="O158" s="83" t="s">
        <v>827</v>
      </c>
    </row>
    <row r="159" spans="1:15" ht="27">
      <c r="A159" s="81">
        <f t="shared" si="2"/>
        <v>158</v>
      </c>
      <c r="B159" s="82" t="s">
        <v>1005</v>
      </c>
      <c r="C159" s="83" t="s">
        <v>34</v>
      </c>
      <c r="D159" s="83" t="s">
        <v>35</v>
      </c>
      <c r="E159" s="84">
        <v>7000</v>
      </c>
      <c r="F159" s="85">
        <v>3.54</v>
      </c>
      <c r="G159" s="83" t="s">
        <v>885</v>
      </c>
      <c r="H159" s="83" t="s">
        <v>950</v>
      </c>
      <c r="I159" s="85">
        <f>Planejamento2024[[#This Row],[Qnt de Itens]]*Planejamento2024[[#This Row],[Valor unitário]]</f>
        <v>24780</v>
      </c>
      <c r="J159" s="83" t="s">
        <v>20</v>
      </c>
      <c r="K159" s="83" t="s">
        <v>415</v>
      </c>
      <c r="L159" s="86">
        <v>45292</v>
      </c>
      <c r="M159" s="83" t="s">
        <v>20</v>
      </c>
      <c r="N159" s="87" t="s">
        <v>955</v>
      </c>
      <c r="O159" s="83" t="s">
        <v>827</v>
      </c>
    </row>
    <row r="160" spans="1:15" ht="27">
      <c r="A160" s="81">
        <f t="shared" si="2"/>
        <v>159</v>
      </c>
      <c r="B160" s="82" t="s">
        <v>1006</v>
      </c>
      <c r="C160" s="83" t="s">
        <v>34</v>
      </c>
      <c r="D160" s="83" t="s">
        <v>35</v>
      </c>
      <c r="E160" s="84">
        <v>7000</v>
      </c>
      <c r="F160" s="85">
        <v>3.54</v>
      </c>
      <c r="G160" s="83" t="s">
        <v>885</v>
      </c>
      <c r="H160" s="83" t="s">
        <v>950</v>
      </c>
      <c r="I160" s="85">
        <f>Planejamento2024[[#This Row],[Qnt de Itens]]*Planejamento2024[[#This Row],[Valor unitário]]</f>
        <v>24780</v>
      </c>
      <c r="J160" s="83" t="s">
        <v>20</v>
      </c>
      <c r="K160" s="83" t="s">
        <v>415</v>
      </c>
      <c r="L160" s="86">
        <v>45292</v>
      </c>
      <c r="M160" s="83" t="s">
        <v>20</v>
      </c>
      <c r="N160" s="87" t="s">
        <v>955</v>
      </c>
      <c r="O160" s="83" t="s">
        <v>827</v>
      </c>
    </row>
    <row r="161" spans="1:15" ht="27">
      <c r="A161" s="81">
        <f t="shared" si="2"/>
        <v>160</v>
      </c>
      <c r="B161" s="82" t="s">
        <v>1007</v>
      </c>
      <c r="C161" s="83" t="s">
        <v>34</v>
      </c>
      <c r="D161" s="83" t="s">
        <v>35</v>
      </c>
      <c r="E161" s="84">
        <v>7000</v>
      </c>
      <c r="F161" s="85">
        <v>3.54</v>
      </c>
      <c r="G161" s="83" t="s">
        <v>885</v>
      </c>
      <c r="H161" s="83" t="s">
        <v>950</v>
      </c>
      <c r="I161" s="85">
        <f>Planejamento2024[[#This Row],[Qnt de Itens]]*Planejamento2024[[#This Row],[Valor unitário]]</f>
        <v>24780</v>
      </c>
      <c r="J161" s="83" t="s">
        <v>20</v>
      </c>
      <c r="K161" s="83" t="s">
        <v>415</v>
      </c>
      <c r="L161" s="86">
        <v>45292</v>
      </c>
      <c r="M161" s="83" t="s">
        <v>20</v>
      </c>
      <c r="N161" s="87" t="s">
        <v>955</v>
      </c>
      <c r="O161" s="83" t="s">
        <v>827</v>
      </c>
    </row>
    <row r="162" spans="1:15" ht="27">
      <c r="A162" s="81">
        <f t="shared" si="2"/>
        <v>161</v>
      </c>
      <c r="B162" s="82" t="s">
        <v>1008</v>
      </c>
      <c r="C162" s="83" t="s">
        <v>34</v>
      </c>
      <c r="D162" s="83" t="s">
        <v>35</v>
      </c>
      <c r="E162" s="84">
        <v>7000</v>
      </c>
      <c r="F162" s="85">
        <v>3.54</v>
      </c>
      <c r="G162" s="83" t="s">
        <v>885</v>
      </c>
      <c r="H162" s="83" t="s">
        <v>950</v>
      </c>
      <c r="I162" s="85">
        <f>Planejamento2024[[#This Row],[Qnt de Itens]]*Planejamento2024[[#This Row],[Valor unitário]]</f>
        <v>24780</v>
      </c>
      <c r="J162" s="83" t="s">
        <v>20</v>
      </c>
      <c r="K162" s="83" t="s">
        <v>415</v>
      </c>
      <c r="L162" s="86">
        <v>45292</v>
      </c>
      <c r="M162" s="83" t="s">
        <v>20</v>
      </c>
      <c r="N162" s="87" t="s">
        <v>955</v>
      </c>
      <c r="O162" s="83" t="s">
        <v>827</v>
      </c>
    </row>
    <row r="163" spans="1:15" ht="45">
      <c r="A163" s="81">
        <f t="shared" si="2"/>
        <v>162</v>
      </c>
      <c r="B163" s="82" t="s">
        <v>1009</v>
      </c>
      <c r="C163" s="83" t="s">
        <v>34</v>
      </c>
      <c r="D163" s="83" t="s">
        <v>35</v>
      </c>
      <c r="E163" s="84">
        <v>1000</v>
      </c>
      <c r="F163" s="85">
        <v>8.26</v>
      </c>
      <c r="G163" s="83" t="s">
        <v>885</v>
      </c>
      <c r="H163" s="83" t="s">
        <v>950</v>
      </c>
      <c r="I163" s="85">
        <f>Planejamento2024[[#This Row],[Qnt de Itens]]*Planejamento2024[[#This Row],[Valor unitário]]</f>
        <v>8260</v>
      </c>
      <c r="J163" s="83" t="s">
        <v>20</v>
      </c>
      <c r="K163" s="83" t="s">
        <v>478</v>
      </c>
      <c r="L163" s="86">
        <v>45292</v>
      </c>
      <c r="M163" s="83" t="s">
        <v>20</v>
      </c>
      <c r="N163" s="87" t="s">
        <v>955</v>
      </c>
      <c r="O163" s="83" t="s">
        <v>827</v>
      </c>
    </row>
    <row r="164" spans="1:15" ht="27">
      <c r="A164" s="81">
        <f t="shared" si="2"/>
        <v>163</v>
      </c>
      <c r="B164" s="82" t="s">
        <v>1010</v>
      </c>
      <c r="C164" s="83" t="s">
        <v>34</v>
      </c>
      <c r="D164" s="83" t="s">
        <v>35</v>
      </c>
      <c r="E164" s="84">
        <v>3000</v>
      </c>
      <c r="F164" s="85">
        <v>1.9</v>
      </c>
      <c r="G164" s="83" t="s">
        <v>1011</v>
      </c>
      <c r="H164" s="83" t="s">
        <v>950</v>
      </c>
      <c r="I164" s="85">
        <f>Planejamento2024[[#This Row],[Qnt de Itens]]*Planejamento2024[[#This Row],[Valor unitário]]</f>
        <v>5700</v>
      </c>
      <c r="J164" s="83" t="s">
        <v>20</v>
      </c>
      <c r="K164" s="83" t="s">
        <v>478</v>
      </c>
      <c r="L164" s="86">
        <v>45292</v>
      </c>
      <c r="M164" s="83" t="s">
        <v>20</v>
      </c>
      <c r="N164" s="87"/>
      <c r="O164" s="83" t="s">
        <v>827</v>
      </c>
    </row>
    <row r="165" spans="1:15" ht="36">
      <c r="A165" s="81">
        <f t="shared" si="2"/>
        <v>164</v>
      </c>
      <c r="B165" s="82" t="s">
        <v>1012</v>
      </c>
      <c r="C165" s="83" t="s">
        <v>34</v>
      </c>
      <c r="D165" s="83" t="s">
        <v>35</v>
      </c>
      <c r="E165" s="84">
        <v>1000</v>
      </c>
      <c r="F165" s="85">
        <v>49.59</v>
      </c>
      <c r="G165" s="83" t="s">
        <v>890</v>
      </c>
      <c r="H165" s="83" t="s">
        <v>950</v>
      </c>
      <c r="I165" s="85">
        <f>Planejamento2024[[#This Row],[Qnt de Itens]]*Planejamento2024[[#This Row],[Valor unitário]]</f>
        <v>49590</v>
      </c>
      <c r="J165" s="83" t="s">
        <v>20</v>
      </c>
      <c r="K165" s="83" t="s">
        <v>415</v>
      </c>
      <c r="L165" s="86">
        <v>45292</v>
      </c>
      <c r="M165" s="83" t="s">
        <v>38</v>
      </c>
      <c r="N165" s="87" t="s">
        <v>951</v>
      </c>
      <c r="O165" s="83" t="s">
        <v>827</v>
      </c>
    </row>
    <row r="166" spans="1:15" ht="36">
      <c r="A166" s="81">
        <f t="shared" si="2"/>
        <v>165</v>
      </c>
      <c r="B166" s="82" t="s">
        <v>1013</v>
      </c>
      <c r="C166" s="83" t="s">
        <v>34</v>
      </c>
      <c r="D166" s="83" t="s">
        <v>35</v>
      </c>
      <c r="E166" s="84">
        <v>810</v>
      </c>
      <c r="F166" s="85">
        <v>48.25</v>
      </c>
      <c r="G166" s="83" t="s">
        <v>890</v>
      </c>
      <c r="H166" s="83" t="s">
        <v>950</v>
      </c>
      <c r="I166" s="85">
        <f>Planejamento2024[[#This Row],[Qnt de Itens]]*Planejamento2024[[#This Row],[Valor unitário]]</f>
        <v>39082.5</v>
      </c>
      <c r="J166" s="83" t="s">
        <v>20</v>
      </c>
      <c r="K166" s="83" t="s">
        <v>415</v>
      </c>
      <c r="L166" s="86">
        <v>45292</v>
      </c>
      <c r="M166" s="83" t="s">
        <v>38</v>
      </c>
      <c r="N166" s="87" t="s">
        <v>951</v>
      </c>
      <c r="O166" s="83" t="s">
        <v>827</v>
      </c>
    </row>
    <row r="167" spans="1:15" ht="36">
      <c r="A167" s="81">
        <f t="shared" si="2"/>
        <v>166</v>
      </c>
      <c r="B167" s="82" t="s">
        <v>1014</v>
      </c>
      <c r="C167" s="83" t="s">
        <v>34</v>
      </c>
      <c r="D167" s="83" t="s">
        <v>35</v>
      </c>
      <c r="E167" s="84">
        <v>400</v>
      </c>
      <c r="F167" s="85">
        <v>37.5</v>
      </c>
      <c r="G167" s="83" t="s">
        <v>890</v>
      </c>
      <c r="H167" s="83" t="s">
        <v>950</v>
      </c>
      <c r="I167" s="85">
        <f>Planejamento2024[[#This Row],[Qnt de Itens]]*Planejamento2024[[#This Row],[Valor unitário]]</f>
        <v>15000</v>
      </c>
      <c r="J167" s="83" t="s">
        <v>20</v>
      </c>
      <c r="K167" s="83" t="s">
        <v>415</v>
      </c>
      <c r="L167" s="86">
        <v>45292</v>
      </c>
      <c r="M167" s="83" t="s">
        <v>38</v>
      </c>
      <c r="N167" s="87" t="s">
        <v>951</v>
      </c>
      <c r="O167" s="83" t="s">
        <v>827</v>
      </c>
    </row>
    <row r="168" spans="1:15" ht="36">
      <c r="A168" s="81">
        <f t="shared" si="2"/>
        <v>167</v>
      </c>
      <c r="B168" s="82" t="s">
        <v>1015</v>
      </c>
      <c r="C168" s="83" t="s">
        <v>34</v>
      </c>
      <c r="D168" s="83" t="s">
        <v>35</v>
      </c>
      <c r="E168" s="84">
        <v>1200</v>
      </c>
      <c r="F168" s="85">
        <v>52.25</v>
      </c>
      <c r="G168" s="83" t="s">
        <v>890</v>
      </c>
      <c r="H168" s="83" t="s">
        <v>950</v>
      </c>
      <c r="I168" s="85">
        <f>Planejamento2024[[#This Row],[Qnt de Itens]]*Planejamento2024[[#This Row],[Valor unitário]]</f>
        <v>62700</v>
      </c>
      <c r="J168" s="83" t="s">
        <v>20</v>
      </c>
      <c r="K168" s="83" t="s">
        <v>415</v>
      </c>
      <c r="L168" s="86">
        <v>45292</v>
      </c>
      <c r="M168" s="83" t="s">
        <v>38</v>
      </c>
      <c r="N168" s="87" t="s">
        <v>951</v>
      </c>
      <c r="O168" s="83" t="s">
        <v>827</v>
      </c>
    </row>
    <row r="169" spans="1:15" ht="36">
      <c r="A169" s="81">
        <f t="shared" si="2"/>
        <v>168</v>
      </c>
      <c r="B169" s="82" t="s">
        <v>1016</v>
      </c>
      <c r="C169" s="83" t="s">
        <v>34</v>
      </c>
      <c r="D169" s="83" t="s">
        <v>35</v>
      </c>
      <c r="E169" s="84">
        <v>1200</v>
      </c>
      <c r="F169" s="85">
        <v>53.92</v>
      </c>
      <c r="G169" s="83" t="s">
        <v>890</v>
      </c>
      <c r="H169" s="83" t="s">
        <v>950</v>
      </c>
      <c r="I169" s="85">
        <f>Planejamento2024[[#This Row],[Qnt de Itens]]*Planejamento2024[[#This Row],[Valor unitário]]</f>
        <v>64704</v>
      </c>
      <c r="J169" s="83" t="s">
        <v>20</v>
      </c>
      <c r="K169" s="83" t="s">
        <v>415</v>
      </c>
      <c r="L169" s="86">
        <v>45292</v>
      </c>
      <c r="M169" s="83" t="s">
        <v>38</v>
      </c>
      <c r="N169" s="87" t="s">
        <v>951</v>
      </c>
      <c r="O169" s="83" t="s">
        <v>827</v>
      </c>
    </row>
    <row r="170" spans="1:15" ht="18">
      <c r="A170" s="81">
        <f t="shared" si="2"/>
        <v>169</v>
      </c>
      <c r="B170" s="82" t="s">
        <v>1017</v>
      </c>
      <c r="C170" s="83" t="s">
        <v>34</v>
      </c>
      <c r="D170" s="83" t="s">
        <v>35</v>
      </c>
      <c r="E170" s="84">
        <v>3600</v>
      </c>
      <c r="F170" s="85">
        <v>5.99</v>
      </c>
      <c r="G170" s="83" t="s">
        <v>885</v>
      </c>
      <c r="H170" s="83" t="s">
        <v>950</v>
      </c>
      <c r="I170" s="85">
        <f>Planejamento2024[[#This Row],[Qnt de Itens]]*Planejamento2024[[#This Row],[Valor unitário]]</f>
        <v>21564</v>
      </c>
      <c r="J170" s="83" t="s">
        <v>20</v>
      </c>
      <c r="K170" s="83" t="s">
        <v>415</v>
      </c>
      <c r="L170" s="86">
        <v>45292</v>
      </c>
      <c r="M170" s="83" t="s">
        <v>38</v>
      </c>
      <c r="N170" s="87" t="s">
        <v>951</v>
      </c>
      <c r="O170" s="83" t="s">
        <v>827</v>
      </c>
    </row>
    <row r="171" spans="1:15" ht="27">
      <c r="A171" s="81">
        <f t="shared" si="2"/>
        <v>170</v>
      </c>
      <c r="B171" s="82" t="s">
        <v>1018</v>
      </c>
      <c r="C171" s="83" t="s">
        <v>34</v>
      </c>
      <c r="D171" s="83" t="s">
        <v>35</v>
      </c>
      <c r="E171" s="84">
        <v>12000</v>
      </c>
      <c r="F171" s="85">
        <v>22.44</v>
      </c>
      <c r="G171" s="83" t="s">
        <v>885</v>
      </c>
      <c r="H171" s="83" t="s">
        <v>950</v>
      </c>
      <c r="I171" s="85">
        <f>Planejamento2024[[#This Row],[Qnt de Itens]]*Planejamento2024[[#This Row],[Valor unitário]]</f>
        <v>269280</v>
      </c>
      <c r="J171" s="83" t="s">
        <v>20</v>
      </c>
      <c r="K171" s="83" t="s">
        <v>415</v>
      </c>
      <c r="L171" s="86">
        <v>45292</v>
      </c>
      <c r="M171" s="83" t="s">
        <v>20</v>
      </c>
      <c r="N171" s="87" t="s">
        <v>955</v>
      </c>
      <c r="O171" s="83" t="s">
        <v>827</v>
      </c>
    </row>
    <row r="172" spans="1:15" ht="27">
      <c r="A172" s="81">
        <f t="shared" si="2"/>
        <v>171</v>
      </c>
      <c r="B172" s="82" t="s">
        <v>1019</v>
      </c>
      <c r="C172" s="83" t="s">
        <v>34</v>
      </c>
      <c r="D172" s="83" t="s">
        <v>35</v>
      </c>
      <c r="E172" s="84">
        <v>3000</v>
      </c>
      <c r="F172" s="85">
        <v>14.32</v>
      </c>
      <c r="G172" s="83" t="s">
        <v>885</v>
      </c>
      <c r="H172" s="83" t="s">
        <v>950</v>
      </c>
      <c r="I172" s="85">
        <f>Planejamento2024[[#This Row],[Qnt de Itens]]*Planejamento2024[[#This Row],[Valor unitário]]</f>
        <v>42960</v>
      </c>
      <c r="J172" s="83" t="s">
        <v>20</v>
      </c>
      <c r="K172" s="83" t="s">
        <v>415</v>
      </c>
      <c r="L172" s="86">
        <v>45292</v>
      </c>
      <c r="M172" s="83" t="s">
        <v>20</v>
      </c>
      <c r="N172" s="87" t="s">
        <v>955</v>
      </c>
      <c r="O172" s="83" t="s">
        <v>827</v>
      </c>
    </row>
    <row r="173" spans="1:15" ht="27">
      <c r="A173" s="81">
        <f t="shared" si="2"/>
        <v>172</v>
      </c>
      <c r="B173" s="82" t="s">
        <v>1020</v>
      </c>
      <c r="C173" s="83" t="s">
        <v>34</v>
      </c>
      <c r="D173" s="83" t="s">
        <v>35</v>
      </c>
      <c r="E173" s="84">
        <v>5000</v>
      </c>
      <c r="F173" s="85">
        <v>12.89</v>
      </c>
      <c r="G173" s="83" t="s">
        <v>885</v>
      </c>
      <c r="H173" s="83" t="s">
        <v>950</v>
      </c>
      <c r="I173" s="85">
        <f>Planejamento2024[[#This Row],[Qnt de Itens]]*Planejamento2024[[#This Row],[Valor unitário]]</f>
        <v>64450</v>
      </c>
      <c r="J173" s="83" t="s">
        <v>20</v>
      </c>
      <c r="K173" s="83" t="s">
        <v>415</v>
      </c>
      <c r="L173" s="86">
        <v>45292</v>
      </c>
      <c r="M173" s="83" t="s">
        <v>20</v>
      </c>
      <c r="N173" s="87" t="s">
        <v>955</v>
      </c>
      <c r="O173" s="83" t="s">
        <v>827</v>
      </c>
    </row>
    <row r="174" spans="1:15" ht="36">
      <c r="A174" s="81">
        <f t="shared" si="2"/>
        <v>173</v>
      </c>
      <c r="B174" s="92" t="s">
        <v>1021</v>
      </c>
      <c r="C174" s="83" t="s">
        <v>34</v>
      </c>
      <c r="D174" s="83" t="s">
        <v>35</v>
      </c>
      <c r="E174" s="93">
        <v>500</v>
      </c>
      <c r="F174" s="94">
        <v>5.4</v>
      </c>
      <c r="G174" s="95" t="s">
        <v>510</v>
      </c>
      <c r="H174" s="83" t="s">
        <v>950</v>
      </c>
      <c r="I174" s="85">
        <f>Planejamento2024[[#This Row],[Qnt de Itens]]*Planejamento2024[[#This Row],[Valor unitário]]</f>
        <v>2700</v>
      </c>
      <c r="J174" s="83" t="s">
        <v>20</v>
      </c>
      <c r="K174" s="83" t="s">
        <v>415</v>
      </c>
      <c r="L174" s="86">
        <v>45292</v>
      </c>
      <c r="M174" s="83" t="s">
        <v>20</v>
      </c>
      <c r="N174" s="87"/>
      <c r="O174" s="83" t="s">
        <v>827</v>
      </c>
    </row>
    <row r="175" spans="1:15" ht="36">
      <c r="A175" s="81">
        <f t="shared" si="2"/>
        <v>174</v>
      </c>
      <c r="B175" s="92" t="s">
        <v>1022</v>
      </c>
      <c r="C175" s="83" t="s">
        <v>34</v>
      </c>
      <c r="D175" s="83" t="s">
        <v>35</v>
      </c>
      <c r="E175" s="93">
        <v>500</v>
      </c>
      <c r="F175" s="94">
        <v>9.1999999999999993</v>
      </c>
      <c r="G175" s="95" t="s">
        <v>510</v>
      </c>
      <c r="H175" s="83" t="s">
        <v>950</v>
      </c>
      <c r="I175" s="85">
        <f>Planejamento2024[[#This Row],[Qnt de Itens]]*Planejamento2024[[#This Row],[Valor unitário]]</f>
        <v>4600</v>
      </c>
      <c r="J175" s="83" t="s">
        <v>20</v>
      </c>
      <c r="K175" s="83" t="s">
        <v>415</v>
      </c>
      <c r="L175" s="86">
        <v>45292</v>
      </c>
      <c r="M175" s="83" t="s">
        <v>20</v>
      </c>
      <c r="N175" s="87"/>
      <c r="O175" s="83" t="s">
        <v>827</v>
      </c>
    </row>
    <row r="176" spans="1:15" ht="27">
      <c r="A176" s="81">
        <f t="shared" si="2"/>
        <v>175</v>
      </c>
      <c r="B176" s="92" t="s">
        <v>1023</v>
      </c>
      <c r="C176" s="83" t="s">
        <v>34</v>
      </c>
      <c r="D176" s="83" t="s">
        <v>35</v>
      </c>
      <c r="E176" s="93">
        <v>1000</v>
      </c>
      <c r="F176" s="94">
        <v>49.26</v>
      </c>
      <c r="G176" s="95" t="s">
        <v>890</v>
      </c>
      <c r="H176" s="83" t="s">
        <v>950</v>
      </c>
      <c r="I176" s="85">
        <f>Planejamento2024[[#This Row],[Qnt de Itens]]*Planejamento2024[[#This Row],[Valor unitário]]</f>
        <v>49260</v>
      </c>
      <c r="J176" s="83" t="s">
        <v>20</v>
      </c>
      <c r="K176" s="83" t="s">
        <v>492</v>
      </c>
      <c r="L176" s="86">
        <v>45292</v>
      </c>
      <c r="M176" s="83" t="s">
        <v>20</v>
      </c>
      <c r="N176" s="87"/>
      <c r="O176" s="83" t="s">
        <v>827</v>
      </c>
    </row>
    <row r="177" spans="1:15" ht="63">
      <c r="A177" s="81">
        <f t="shared" si="2"/>
        <v>176</v>
      </c>
      <c r="B177" s="82" t="s">
        <v>1024</v>
      </c>
      <c r="C177" s="83" t="s">
        <v>34</v>
      </c>
      <c r="D177" s="83" t="s">
        <v>35</v>
      </c>
      <c r="E177" s="84">
        <v>10000</v>
      </c>
      <c r="F177" s="85">
        <v>16.59</v>
      </c>
      <c r="G177" s="83" t="s">
        <v>928</v>
      </c>
      <c r="H177" s="83" t="s">
        <v>950</v>
      </c>
      <c r="I177" s="85">
        <f>Planejamento2024[[#This Row],[Qnt de Itens]]*Planejamento2024[[#This Row],[Valor unitário]]</f>
        <v>165900</v>
      </c>
      <c r="J177" s="83" t="s">
        <v>20</v>
      </c>
      <c r="K177" s="83" t="s">
        <v>415</v>
      </c>
      <c r="L177" s="86">
        <v>45292</v>
      </c>
      <c r="M177" s="83" t="s">
        <v>20</v>
      </c>
      <c r="N177" s="87" t="s">
        <v>955</v>
      </c>
      <c r="O177" s="83" t="s">
        <v>827</v>
      </c>
    </row>
    <row r="178" spans="1:15" ht="27">
      <c r="A178" s="81">
        <f t="shared" si="2"/>
        <v>177</v>
      </c>
      <c r="B178" s="82" t="s">
        <v>1025</v>
      </c>
      <c r="C178" s="83" t="s">
        <v>34</v>
      </c>
      <c r="D178" s="83" t="s">
        <v>35</v>
      </c>
      <c r="E178" s="84">
        <v>30000</v>
      </c>
      <c r="F178" s="85">
        <v>15.21</v>
      </c>
      <c r="G178" s="83" t="s">
        <v>885</v>
      </c>
      <c r="H178" s="83" t="s">
        <v>950</v>
      </c>
      <c r="I178" s="85">
        <f>Planejamento2024[[#This Row],[Qnt de Itens]]*Planejamento2024[[#This Row],[Valor unitário]]</f>
        <v>456300</v>
      </c>
      <c r="J178" s="83" t="s">
        <v>20</v>
      </c>
      <c r="K178" s="83" t="s">
        <v>415</v>
      </c>
      <c r="L178" s="86">
        <v>45292</v>
      </c>
      <c r="M178" s="83" t="s">
        <v>20</v>
      </c>
      <c r="N178" s="87" t="s">
        <v>955</v>
      </c>
      <c r="O178" s="83" t="s">
        <v>827</v>
      </c>
    </row>
    <row r="179" spans="1:15" ht="27">
      <c r="A179" s="81">
        <f t="shared" si="2"/>
        <v>178</v>
      </c>
      <c r="B179" s="82" t="s">
        <v>1026</v>
      </c>
      <c r="C179" s="83" t="s">
        <v>34</v>
      </c>
      <c r="D179" s="83" t="s">
        <v>35</v>
      </c>
      <c r="E179" s="84">
        <v>1500</v>
      </c>
      <c r="F179" s="85">
        <v>207.43</v>
      </c>
      <c r="G179" s="83" t="s">
        <v>510</v>
      </c>
      <c r="H179" s="83" t="s">
        <v>950</v>
      </c>
      <c r="I179" s="85">
        <f>Planejamento2024[[#This Row],[Qnt de Itens]]*Planejamento2024[[#This Row],[Valor unitário]]</f>
        <v>311145</v>
      </c>
      <c r="J179" s="83" t="s">
        <v>20</v>
      </c>
      <c r="K179" s="83" t="s">
        <v>492</v>
      </c>
      <c r="L179" s="86">
        <v>45292</v>
      </c>
      <c r="M179" s="83" t="s">
        <v>20</v>
      </c>
      <c r="N179" s="87" t="s">
        <v>955</v>
      </c>
      <c r="O179" s="83" t="s">
        <v>827</v>
      </c>
    </row>
    <row r="180" spans="1:15" ht="27">
      <c r="A180" s="81">
        <f t="shared" si="2"/>
        <v>179</v>
      </c>
      <c r="B180" s="82" t="s">
        <v>1027</v>
      </c>
      <c r="C180" s="83" t="s">
        <v>34</v>
      </c>
      <c r="D180" s="83" t="s">
        <v>35</v>
      </c>
      <c r="E180" s="84">
        <v>5000</v>
      </c>
      <c r="F180" s="85">
        <v>65.510000000000005</v>
      </c>
      <c r="G180" s="83" t="s">
        <v>885</v>
      </c>
      <c r="H180" s="83" t="s">
        <v>950</v>
      </c>
      <c r="I180" s="85">
        <f>Planejamento2024[[#This Row],[Qnt de Itens]]*Planejamento2024[[#This Row],[Valor unitário]]</f>
        <v>327550</v>
      </c>
      <c r="J180" s="83" t="s">
        <v>20</v>
      </c>
      <c r="K180" s="83" t="s">
        <v>415</v>
      </c>
      <c r="L180" s="86">
        <v>45292</v>
      </c>
      <c r="M180" s="83" t="s">
        <v>20</v>
      </c>
      <c r="N180" s="87" t="s">
        <v>955</v>
      </c>
      <c r="O180" s="83" t="s">
        <v>827</v>
      </c>
    </row>
    <row r="181" spans="1:15" ht="54">
      <c r="A181" s="81">
        <f t="shared" si="2"/>
        <v>180</v>
      </c>
      <c r="B181" s="82" t="s">
        <v>1028</v>
      </c>
      <c r="C181" s="83" t="s">
        <v>34</v>
      </c>
      <c r="D181" s="83" t="s">
        <v>35</v>
      </c>
      <c r="E181" s="84">
        <v>100</v>
      </c>
      <c r="F181" s="85">
        <v>760.57</v>
      </c>
      <c r="G181" s="83" t="s">
        <v>510</v>
      </c>
      <c r="H181" s="83" t="s">
        <v>950</v>
      </c>
      <c r="I181" s="85">
        <f>Planejamento2024[[#This Row],[Qnt de Itens]]*Planejamento2024[[#This Row],[Valor unitário]]</f>
        <v>76057</v>
      </c>
      <c r="J181" s="83" t="s">
        <v>20</v>
      </c>
      <c r="K181" s="83" t="s">
        <v>415</v>
      </c>
      <c r="L181" s="86">
        <v>45292</v>
      </c>
      <c r="M181" s="83" t="s">
        <v>20</v>
      </c>
      <c r="N181" s="87" t="s">
        <v>955</v>
      </c>
      <c r="O181" s="83" t="s">
        <v>827</v>
      </c>
    </row>
    <row r="182" spans="1:15" ht="63">
      <c r="A182" s="81">
        <f t="shared" si="2"/>
        <v>181</v>
      </c>
      <c r="B182" s="82" t="s">
        <v>1029</v>
      </c>
      <c r="C182" s="83" t="s">
        <v>34</v>
      </c>
      <c r="D182" s="83" t="s">
        <v>35</v>
      </c>
      <c r="E182" s="84">
        <v>400</v>
      </c>
      <c r="F182" s="85">
        <v>253.04</v>
      </c>
      <c r="G182" s="83" t="s">
        <v>510</v>
      </c>
      <c r="H182" s="83" t="s">
        <v>950</v>
      </c>
      <c r="I182" s="85">
        <f>Planejamento2024[[#This Row],[Qnt de Itens]]*Planejamento2024[[#This Row],[Valor unitário]]</f>
        <v>101216</v>
      </c>
      <c r="J182" s="83" t="s">
        <v>20</v>
      </c>
      <c r="K182" s="83" t="s">
        <v>415</v>
      </c>
      <c r="L182" s="86">
        <v>45292</v>
      </c>
      <c r="M182" s="83" t="s">
        <v>20</v>
      </c>
      <c r="N182" s="87" t="s">
        <v>955</v>
      </c>
      <c r="O182" s="83" t="s">
        <v>827</v>
      </c>
    </row>
    <row r="183" spans="1:15" ht="18">
      <c r="A183" s="81">
        <f t="shared" si="2"/>
        <v>182</v>
      </c>
      <c r="B183" s="82" t="s">
        <v>1030</v>
      </c>
      <c r="C183" s="83" t="s">
        <v>34</v>
      </c>
      <c r="D183" s="83" t="s">
        <v>35</v>
      </c>
      <c r="E183" s="84">
        <v>9000</v>
      </c>
      <c r="F183" s="85">
        <v>16.5</v>
      </c>
      <c r="G183" s="83" t="s">
        <v>885</v>
      </c>
      <c r="H183" s="83" t="s">
        <v>950</v>
      </c>
      <c r="I183" s="85">
        <f>Planejamento2024[[#This Row],[Qnt de Itens]]*Planejamento2024[[#This Row],[Valor unitário]]</f>
        <v>148500</v>
      </c>
      <c r="J183" s="83" t="s">
        <v>20</v>
      </c>
      <c r="K183" s="83" t="s">
        <v>415</v>
      </c>
      <c r="L183" s="86">
        <v>45292</v>
      </c>
      <c r="M183" s="83" t="s">
        <v>38</v>
      </c>
      <c r="N183" s="87" t="s">
        <v>951</v>
      </c>
      <c r="O183" s="83" t="s">
        <v>827</v>
      </c>
    </row>
    <row r="184" spans="1:15" ht="54">
      <c r="A184" s="81">
        <f t="shared" si="2"/>
        <v>183</v>
      </c>
      <c r="B184" s="82" t="s">
        <v>1031</v>
      </c>
      <c r="C184" s="83" t="s">
        <v>34</v>
      </c>
      <c r="D184" s="83" t="s">
        <v>35</v>
      </c>
      <c r="E184" s="84">
        <v>700</v>
      </c>
      <c r="F184" s="85">
        <v>23.67</v>
      </c>
      <c r="G184" s="83" t="s">
        <v>953</v>
      </c>
      <c r="H184" s="83" t="s">
        <v>950</v>
      </c>
      <c r="I184" s="85">
        <f>Planejamento2024[[#This Row],[Qnt de Itens]]*Planejamento2024[[#This Row],[Valor unitário]]</f>
        <v>16569</v>
      </c>
      <c r="J184" s="83" t="s">
        <v>20</v>
      </c>
      <c r="K184" s="83" t="s">
        <v>415</v>
      </c>
      <c r="L184" s="86">
        <v>45292</v>
      </c>
      <c r="M184" s="83" t="s">
        <v>38</v>
      </c>
      <c r="N184" s="87" t="s">
        <v>951</v>
      </c>
      <c r="O184" s="83" t="s">
        <v>827</v>
      </c>
    </row>
    <row r="185" spans="1:15" ht="36">
      <c r="A185" s="81">
        <f t="shared" si="2"/>
        <v>184</v>
      </c>
      <c r="B185" s="82" t="s">
        <v>1032</v>
      </c>
      <c r="C185" s="83" t="s">
        <v>34</v>
      </c>
      <c r="D185" s="83" t="s">
        <v>35</v>
      </c>
      <c r="E185" s="84">
        <v>10</v>
      </c>
      <c r="F185" s="85">
        <v>62.86</v>
      </c>
      <c r="G185" s="83" t="s">
        <v>885</v>
      </c>
      <c r="H185" s="83" t="s">
        <v>950</v>
      </c>
      <c r="I185" s="85">
        <f>Planejamento2024[[#This Row],[Qnt de Itens]]*Planejamento2024[[#This Row],[Valor unitário]]</f>
        <v>628.6</v>
      </c>
      <c r="J185" s="83" t="s">
        <v>20</v>
      </c>
      <c r="K185" s="83" t="s">
        <v>478</v>
      </c>
      <c r="L185" s="86">
        <v>45292</v>
      </c>
      <c r="M185" s="83" t="s">
        <v>20</v>
      </c>
      <c r="N185" s="87" t="s">
        <v>955</v>
      </c>
      <c r="O185" s="83" t="s">
        <v>827</v>
      </c>
    </row>
    <row r="186" spans="1:15" ht="18">
      <c r="A186" s="81">
        <f t="shared" si="2"/>
        <v>185</v>
      </c>
      <c r="B186" s="82" t="s">
        <v>1033</v>
      </c>
      <c r="C186" s="83" t="s">
        <v>34</v>
      </c>
      <c r="D186" s="83" t="s">
        <v>35</v>
      </c>
      <c r="E186" s="84">
        <v>500</v>
      </c>
      <c r="F186" s="85">
        <v>88</v>
      </c>
      <c r="G186" s="83" t="s">
        <v>885</v>
      </c>
      <c r="H186" s="83" t="s">
        <v>950</v>
      </c>
      <c r="I186" s="85">
        <f>Planejamento2024[[#This Row],[Qnt de Itens]]*Planejamento2024[[#This Row],[Valor unitário]]</f>
        <v>44000</v>
      </c>
      <c r="J186" s="83" t="s">
        <v>20</v>
      </c>
      <c r="K186" s="83" t="s">
        <v>478</v>
      </c>
      <c r="L186" s="86">
        <v>45292</v>
      </c>
      <c r="M186" s="83" t="s">
        <v>20</v>
      </c>
      <c r="N186" s="87" t="s">
        <v>955</v>
      </c>
      <c r="O186" s="83" t="s">
        <v>827</v>
      </c>
    </row>
    <row r="187" spans="1:15" ht="27">
      <c r="A187" s="81">
        <f t="shared" si="2"/>
        <v>186</v>
      </c>
      <c r="B187" s="82" t="s">
        <v>1034</v>
      </c>
      <c r="C187" s="83" t="s">
        <v>34</v>
      </c>
      <c r="D187" s="83" t="s">
        <v>35</v>
      </c>
      <c r="E187" s="84">
        <v>700</v>
      </c>
      <c r="F187" s="85">
        <v>28.42</v>
      </c>
      <c r="G187" s="83" t="s">
        <v>510</v>
      </c>
      <c r="H187" s="83" t="s">
        <v>950</v>
      </c>
      <c r="I187" s="85">
        <f>Planejamento2024[[#This Row],[Qnt de Itens]]*Planejamento2024[[#This Row],[Valor unitário]]</f>
        <v>19894</v>
      </c>
      <c r="J187" s="83" t="s">
        <v>20</v>
      </c>
      <c r="K187" s="83" t="s">
        <v>415</v>
      </c>
      <c r="L187" s="86">
        <v>45292</v>
      </c>
      <c r="M187" s="83" t="s">
        <v>38</v>
      </c>
      <c r="N187" s="87" t="s">
        <v>951</v>
      </c>
      <c r="O187" s="83" t="s">
        <v>827</v>
      </c>
    </row>
    <row r="188" spans="1:15" ht="27">
      <c r="A188" s="81">
        <f t="shared" si="2"/>
        <v>187</v>
      </c>
      <c r="B188" s="82" t="s">
        <v>1035</v>
      </c>
      <c r="C188" s="83" t="s">
        <v>34</v>
      </c>
      <c r="D188" s="83" t="s">
        <v>35</v>
      </c>
      <c r="E188" s="84">
        <v>700</v>
      </c>
      <c r="F188" s="85">
        <v>28.42</v>
      </c>
      <c r="G188" s="83" t="s">
        <v>510</v>
      </c>
      <c r="H188" s="83" t="s">
        <v>950</v>
      </c>
      <c r="I188" s="85">
        <f>Planejamento2024[[#This Row],[Qnt de Itens]]*Planejamento2024[[#This Row],[Valor unitário]]</f>
        <v>19894</v>
      </c>
      <c r="J188" s="83" t="s">
        <v>20</v>
      </c>
      <c r="K188" s="83" t="s">
        <v>415</v>
      </c>
      <c r="L188" s="86">
        <v>45292</v>
      </c>
      <c r="M188" s="83" t="s">
        <v>38</v>
      </c>
      <c r="N188" s="87" t="s">
        <v>951</v>
      </c>
      <c r="O188" s="83" t="s">
        <v>827</v>
      </c>
    </row>
    <row r="189" spans="1:15" ht="36">
      <c r="A189" s="81">
        <f t="shared" si="2"/>
        <v>188</v>
      </c>
      <c r="B189" s="82" t="s">
        <v>1036</v>
      </c>
      <c r="C189" s="83" t="s">
        <v>34</v>
      </c>
      <c r="D189" s="83" t="s">
        <v>35</v>
      </c>
      <c r="E189" s="84">
        <v>30000</v>
      </c>
      <c r="F189" s="85">
        <v>7.2</v>
      </c>
      <c r="G189" s="83" t="s">
        <v>885</v>
      </c>
      <c r="H189" s="83" t="s">
        <v>950</v>
      </c>
      <c r="I189" s="85">
        <f>Planejamento2024[[#This Row],[Qnt de Itens]]*Planejamento2024[[#This Row],[Valor unitário]]</f>
        <v>216000</v>
      </c>
      <c r="J189" s="83" t="s">
        <v>20</v>
      </c>
      <c r="K189" s="83" t="s">
        <v>415</v>
      </c>
      <c r="L189" s="86">
        <v>45292</v>
      </c>
      <c r="M189" s="83" t="s">
        <v>20</v>
      </c>
      <c r="N189" s="87" t="s">
        <v>955</v>
      </c>
      <c r="O189" s="83" t="s">
        <v>827</v>
      </c>
    </row>
    <row r="190" spans="1:15" ht="27">
      <c r="A190" s="81">
        <f t="shared" si="2"/>
        <v>189</v>
      </c>
      <c r="B190" s="92" t="s">
        <v>1037</v>
      </c>
      <c r="C190" s="83" t="s">
        <v>34</v>
      </c>
      <c r="D190" s="83" t="s">
        <v>35</v>
      </c>
      <c r="E190" s="93">
        <v>4000</v>
      </c>
      <c r="F190" s="94">
        <v>1.38</v>
      </c>
      <c r="G190" s="95" t="s">
        <v>885</v>
      </c>
      <c r="H190" s="83" t="s">
        <v>950</v>
      </c>
      <c r="I190" s="85">
        <f>Planejamento2024[[#This Row],[Qnt de Itens]]*Planejamento2024[[#This Row],[Valor unitário]]</f>
        <v>5520</v>
      </c>
      <c r="J190" s="83" t="s">
        <v>20</v>
      </c>
      <c r="K190" s="83" t="s">
        <v>478</v>
      </c>
      <c r="L190" s="86">
        <v>45292</v>
      </c>
      <c r="M190" s="83" t="s">
        <v>20</v>
      </c>
      <c r="N190" s="87"/>
      <c r="O190" s="83" t="s">
        <v>827</v>
      </c>
    </row>
    <row r="191" spans="1:15" ht="27">
      <c r="A191" s="81">
        <f t="shared" si="2"/>
        <v>190</v>
      </c>
      <c r="B191" s="82" t="s">
        <v>1038</v>
      </c>
      <c r="C191" s="83" t="s">
        <v>34</v>
      </c>
      <c r="D191" s="83" t="s">
        <v>35</v>
      </c>
      <c r="E191" s="84">
        <v>800</v>
      </c>
      <c r="F191" s="85">
        <v>16.32</v>
      </c>
      <c r="G191" s="83" t="s">
        <v>890</v>
      </c>
      <c r="H191" s="83" t="s">
        <v>950</v>
      </c>
      <c r="I191" s="85">
        <f>Planejamento2024[[#This Row],[Qnt de Itens]]*Planejamento2024[[#This Row],[Valor unitário]]</f>
        <v>13056</v>
      </c>
      <c r="J191" s="83" t="s">
        <v>20</v>
      </c>
      <c r="K191" s="83" t="s">
        <v>415</v>
      </c>
      <c r="L191" s="86">
        <v>45292</v>
      </c>
      <c r="M191" s="83" t="s">
        <v>20</v>
      </c>
      <c r="N191" s="87" t="s">
        <v>955</v>
      </c>
      <c r="O191" s="83" t="s">
        <v>827</v>
      </c>
    </row>
    <row r="192" spans="1:15" ht="27">
      <c r="A192" s="81">
        <f t="shared" si="2"/>
        <v>191</v>
      </c>
      <c r="B192" s="82" t="s">
        <v>1039</v>
      </c>
      <c r="C192" s="83" t="s">
        <v>34</v>
      </c>
      <c r="D192" s="83" t="s">
        <v>35</v>
      </c>
      <c r="E192" s="84">
        <v>8000</v>
      </c>
      <c r="F192" s="85">
        <v>2.2400000000000002</v>
      </c>
      <c r="G192" s="83" t="s">
        <v>885</v>
      </c>
      <c r="H192" s="83" t="s">
        <v>950</v>
      </c>
      <c r="I192" s="85">
        <f>Planejamento2024[[#This Row],[Qnt de Itens]]*Planejamento2024[[#This Row],[Valor unitário]]</f>
        <v>17920</v>
      </c>
      <c r="J192" s="83" t="s">
        <v>20</v>
      </c>
      <c r="K192" s="83" t="s">
        <v>478</v>
      </c>
      <c r="L192" s="86">
        <v>45292</v>
      </c>
      <c r="M192" s="83" t="s">
        <v>20</v>
      </c>
      <c r="N192" s="87" t="s">
        <v>955</v>
      </c>
      <c r="O192" s="83" t="s">
        <v>827</v>
      </c>
    </row>
    <row r="193" spans="1:15" ht="27">
      <c r="A193" s="81">
        <f t="shared" si="2"/>
        <v>192</v>
      </c>
      <c r="B193" s="82" t="s">
        <v>1040</v>
      </c>
      <c r="C193" s="83" t="s">
        <v>34</v>
      </c>
      <c r="D193" s="83" t="s">
        <v>35</v>
      </c>
      <c r="E193" s="84">
        <v>15000</v>
      </c>
      <c r="F193" s="85">
        <v>2.5299999999999998</v>
      </c>
      <c r="G193" s="83" t="s">
        <v>885</v>
      </c>
      <c r="H193" s="83" t="s">
        <v>950</v>
      </c>
      <c r="I193" s="85">
        <f>Planejamento2024[[#This Row],[Qnt de Itens]]*Planejamento2024[[#This Row],[Valor unitário]]</f>
        <v>37950</v>
      </c>
      <c r="J193" s="83" t="s">
        <v>20</v>
      </c>
      <c r="K193" s="83" t="s">
        <v>478</v>
      </c>
      <c r="L193" s="86">
        <v>45292</v>
      </c>
      <c r="M193" s="83" t="s">
        <v>20</v>
      </c>
      <c r="N193" s="87" t="s">
        <v>955</v>
      </c>
      <c r="O193" s="83" t="s">
        <v>827</v>
      </c>
    </row>
    <row r="194" spans="1:15" ht="27">
      <c r="A194" s="81">
        <f t="shared" ref="A194:A257" si="3">ROW(A193)</f>
        <v>193</v>
      </c>
      <c r="B194" s="82" t="s">
        <v>1041</v>
      </c>
      <c r="C194" s="83" t="s">
        <v>34</v>
      </c>
      <c r="D194" s="83" t="s">
        <v>35</v>
      </c>
      <c r="E194" s="84">
        <v>5000</v>
      </c>
      <c r="F194" s="85">
        <v>2.39</v>
      </c>
      <c r="G194" s="83" t="s">
        <v>885</v>
      </c>
      <c r="H194" s="83" t="s">
        <v>950</v>
      </c>
      <c r="I194" s="85">
        <f>Planejamento2024[[#This Row],[Qnt de Itens]]*Planejamento2024[[#This Row],[Valor unitário]]</f>
        <v>11950</v>
      </c>
      <c r="J194" s="83" t="s">
        <v>20</v>
      </c>
      <c r="K194" s="83" t="s">
        <v>492</v>
      </c>
      <c r="L194" s="86">
        <v>45292</v>
      </c>
      <c r="M194" s="83" t="s">
        <v>20</v>
      </c>
      <c r="N194" s="87" t="s">
        <v>955</v>
      </c>
      <c r="O194" s="83" t="s">
        <v>827</v>
      </c>
    </row>
    <row r="195" spans="1:15" ht="27">
      <c r="A195" s="81">
        <f t="shared" si="3"/>
        <v>194</v>
      </c>
      <c r="B195" s="82" t="s">
        <v>1042</v>
      </c>
      <c r="C195" s="83" t="s">
        <v>34</v>
      </c>
      <c r="D195" s="83" t="s">
        <v>35</v>
      </c>
      <c r="E195" s="84">
        <v>5000</v>
      </c>
      <c r="F195" s="85">
        <v>2.39</v>
      </c>
      <c r="G195" s="83" t="s">
        <v>885</v>
      </c>
      <c r="H195" s="83" t="s">
        <v>950</v>
      </c>
      <c r="I195" s="85">
        <f>Planejamento2024[[#This Row],[Qnt de Itens]]*Planejamento2024[[#This Row],[Valor unitário]]</f>
        <v>11950</v>
      </c>
      <c r="J195" s="83" t="s">
        <v>20</v>
      </c>
      <c r="K195" s="83" t="s">
        <v>492</v>
      </c>
      <c r="L195" s="86">
        <v>45292</v>
      </c>
      <c r="M195" s="83" t="s">
        <v>20</v>
      </c>
      <c r="N195" s="87" t="s">
        <v>955</v>
      </c>
      <c r="O195" s="83" t="s">
        <v>827</v>
      </c>
    </row>
    <row r="196" spans="1:15" ht="27">
      <c r="A196" s="81">
        <f t="shared" si="3"/>
        <v>195</v>
      </c>
      <c r="B196" s="82" t="s">
        <v>1043</v>
      </c>
      <c r="C196" s="83" t="s">
        <v>34</v>
      </c>
      <c r="D196" s="83" t="s">
        <v>35</v>
      </c>
      <c r="E196" s="84">
        <v>5000</v>
      </c>
      <c r="F196" s="85">
        <v>2.39</v>
      </c>
      <c r="G196" s="83" t="s">
        <v>885</v>
      </c>
      <c r="H196" s="83" t="s">
        <v>950</v>
      </c>
      <c r="I196" s="85">
        <f>Planejamento2024[[#This Row],[Qnt de Itens]]*Planejamento2024[[#This Row],[Valor unitário]]</f>
        <v>11950</v>
      </c>
      <c r="J196" s="83" t="s">
        <v>20</v>
      </c>
      <c r="K196" s="83" t="s">
        <v>492</v>
      </c>
      <c r="L196" s="86">
        <v>45292</v>
      </c>
      <c r="M196" s="83" t="s">
        <v>20</v>
      </c>
      <c r="N196" s="87" t="s">
        <v>955</v>
      </c>
      <c r="O196" s="83" t="s">
        <v>827</v>
      </c>
    </row>
    <row r="197" spans="1:15" ht="27">
      <c r="A197" s="81">
        <f t="shared" si="3"/>
        <v>196</v>
      </c>
      <c r="B197" s="82" t="s">
        <v>1044</v>
      </c>
      <c r="C197" s="83" t="s">
        <v>34</v>
      </c>
      <c r="D197" s="83" t="s">
        <v>35</v>
      </c>
      <c r="E197" s="84">
        <v>5000</v>
      </c>
      <c r="F197" s="85">
        <v>2.39</v>
      </c>
      <c r="G197" s="83" t="s">
        <v>885</v>
      </c>
      <c r="H197" s="83" t="s">
        <v>950</v>
      </c>
      <c r="I197" s="85">
        <f>Planejamento2024[[#This Row],[Qnt de Itens]]*Planejamento2024[[#This Row],[Valor unitário]]</f>
        <v>11950</v>
      </c>
      <c r="J197" s="83" t="s">
        <v>20</v>
      </c>
      <c r="K197" s="83" t="s">
        <v>492</v>
      </c>
      <c r="L197" s="86">
        <v>45292</v>
      </c>
      <c r="M197" s="83" t="s">
        <v>20</v>
      </c>
      <c r="N197" s="87" t="s">
        <v>955</v>
      </c>
      <c r="O197" s="83" t="s">
        <v>827</v>
      </c>
    </row>
    <row r="198" spans="1:15" ht="27">
      <c r="A198" s="81">
        <f t="shared" si="3"/>
        <v>197</v>
      </c>
      <c r="B198" s="82" t="s">
        <v>1045</v>
      </c>
      <c r="C198" s="83" t="s">
        <v>34</v>
      </c>
      <c r="D198" s="83" t="s">
        <v>35</v>
      </c>
      <c r="E198" s="84">
        <v>5000</v>
      </c>
      <c r="F198" s="85">
        <v>2.39</v>
      </c>
      <c r="G198" s="83" t="s">
        <v>885</v>
      </c>
      <c r="H198" s="83" t="s">
        <v>950</v>
      </c>
      <c r="I198" s="85">
        <f>Planejamento2024[[#This Row],[Qnt de Itens]]*Planejamento2024[[#This Row],[Valor unitário]]</f>
        <v>11950</v>
      </c>
      <c r="J198" s="83" t="s">
        <v>20</v>
      </c>
      <c r="K198" s="83" t="s">
        <v>492</v>
      </c>
      <c r="L198" s="86">
        <v>45292</v>
      </c>
      <c r="M198" s="83" t="s">
        <v>20</v>
      </c>
      <c r="N198" s="87" t="s">
        <v>955</v>
      </c>
      <c r="O198" s="83" t="s">
        <v>827</v>
      </c>
    </row>
    <row r="199" spans="1:15" ht="27">
      <c r="A199" s="81">
        <f t="shared" si="3"/>
        <v>198</v>
      </c>
      <c r="B199" s="82" t="s">
        <v>1046</v>
      </c>
      <c r="C199" s="83" t="s">
        <v>34</v>
      </c>
      <c r="D199" s="83" t="s">
        <v>35</v>
      </c>
      <c r="E199" s="84">
        <v>5000</v>
      </c>
      <c r="F199" s="85">
        <v>2.39</v>
      </c>
      <c r="G199" s="83" t="s">
        <v>885</v>
      </c>
      <c r="H199" s="83" t="s">
        <v>950</v>
      </c>
      <c r="I199" s="85">
        <f>Planejamento2024[[#This Row],[Qnt de Itens]]*Planejamento2024[[#This Row],[Valor unitário]]</f>
        <v>11950</v>
      </c>
      <c r="J199" s="83" t="s">
        <v>20</v>
      </c>
      <c r="K199" s="83" t="s">
        <v>492</v>
      </c>
      <c r="L199" s="86">
        <v>45292</v>
      </c>
      <c r="M199" s="83" t="s">
        <v>20</v>
      </c>
      <c r="N199" s="87" t="s">
        <v>955</v>
      </c>
      <c r="O199" s="83" t="s">
        <v>827</v>
      </c>
    </row>
    <row r="200" spans="1:15" ht="27">
      <c r="A200" s="81">
        <f t="shared" si="3"/>
        <v>199</v>
      </c>
      <c r="B200" s="82" t="s">
        <v>1047</v>
      </c>
      <c r="C200" s="83" t="s">
        <v>34</v>
      </c>
      <c r="D200" s="83" t="s">
        <v>35</v>
      </c>
      <c r="E200" s="84">
        <v>5000</v>
      </c>
      <c r="F200" s="85">
        <v>2.39</v>
      </c>
      <c r="G200" s="83" t="s">
        <v>885</v>
      </c>
      <c r="H200" s="83" t="s">
        <v>950</v>
      </c>
      <c r="I200" s="85">
        <f>Planejamento2024[[#This Row],[Qnt de Itens]]*Planejamento2024[[#This Row],[Valor unitário]]</f>
        <v>11950</v>
      </c>
      <c r="J200" s="83" t="s">
        <v>20</v>
      </c>
      <c r="K200" s="83" t="s">
        <v>492</v>
      </c>
      <c r="L200" s="86">
        <v>45292</v>
      </c>
      <c r="M200" s="83" t="s">
        <v>20</v>
      </c>
      <c r="N200" s="87" t="s">
        <v>955</v>
      </c>
      <c r="O200" s="83" t="s">
        <v>827</v>
      </c>
    </row>
    <row r="201" spans="1:15" ht="27">
      <c r="A201" s="81">
        <f t="shared" si="3"/>
        <v>200</v>
      </c>
      <c r="B201" s="82" t="s">
        <v>1048</v>
      </c>
      <c r="C201" s="83" t="s">
        <v>34</v>
      </c>
      <c r="D201" s="83" t="s">
        <v>35</v>
      </c>
      <c r="E201" s="84">
        <v>5000</v>
      </c>
      <c r="F201" s="85">
        <v>2.39</v>
      </c>
      <c r="G201" s="83" t="s">
        <v>885</v>
      </c>
      <c r="H201" s="83" t="s">
        <v>950</v>
      </c>
      <c r="I201" s="85">
        <f>Planejamento2024[[#This Row],[Qnt de Itens]]*Planejamento2024[[#This Row],[Valor unitário]]</f>
        <v>11950</v>
      </c>
      <c r="J201" s="83" t="s">
        <v>20</v>
      </c>
      <c r="K201" s="83" t="s">
        <v>492</v>
      </c>
      <c r="L201" s="86">
        <v>45292</v>
      </c>
      <c r="M201" s="83" t="s">
        <v>20</v>
      </c>
      <c r="N201" s="87" t="s">
        <v>955</v>
      </c>
      <c r="O201" s="83" t="s">
        <v>827</v>
      </c>
    </row>
    <row r="202" spans="1:15" ht="27">
      <c r="A202" s="81">
        <f t="shared" si="3"/>
        <v>201</v>
      </c>
      <c r="B202" s="82" t="s">
        <v>1049</v>
      </c>
      <c r="C202" s="83" t="s">
        <v>34</v>
      </c>
      <c r="D202" s="83" t="s">
        <v>35</v>
      </c>
      <c r="E202" s="84">
        <v>5000</v>
      </c>
      <c r="F202" s="85">
        <v>2.39</v>
      </c>
      <c r="G202" s="83" t="s">
        <v>885</v>
      </c>
      <c r="H202" s="83" t="s">
        <v>950</v>
      </c>
      <c r="I202" s="85">
        <f>Planejamento2024[[#This Row],[Qnt de Itens]]*Planejamento2024[[#This Row],[Valor unitário]]</f>
        <v>11950</v>
      </c>
      <c r="J202" s="83" t="s">
        <v>20</v>
      </c>
      <c r="K202" s="83" t="s">
        <v>492</v>
      </c>
      <c r="L202" s="86">
        <v>45292</v>
      </c>
      <c r="M202" s="83" t="s">
        <v>20</v>
      </c>
      <c r="N202" s="87" t="s">
        <v>955</v>
      </c>
      <c r="O202" s="83" t="s">
        <v>827</v>
      </c>
    </row>
    <row r="203" spans="1:15" ht="27">
      <c r="A203" s="81">
        <f t="shared" si="3"/>
        <v>202</v>
      </c>
      <c r="B203" s="82" t="s">
        <v>1050</v>
      </c>
      <c r="C203" s="83" t="s">
        <v>34</v>
      </c>
      <c r="D203" s="83" t="s">
        <v>35</v>
      </c>
      <c r="E203" s="84">
        <v>5000</v>
      </c>
      <c r="F203" s="85">
        <v>2.39</v>
      </c>
      <c r="G203" s="83" t="s">
        <v>885</v>
      </c>
      <c r="H203" s="83" t="s">
        <v>950</v>
      </c>
      <c r="I203" s="85">
        <f>Planejamento2024[[#This Row],[Qnt de Itens]]*Planejamento2024[[#This Row],[Valor unitário]]</f>
        <v>11950</v>
      </c>
      <c r="J203" s="83" t="s">
        <v>20</v>
      </c>
      <c r="K203" s="83" t="s">
        <v>492</v>
      </c>
      <c r="L203" s="86">
        <v>45292</v>
      </c>
      <c r="M203" s="83" t="s">
        <v>20</v>
      </c>
      <c r="N203" s="87" t="s">
        <v>955</v>
      </c>
      <c r="O203" s="83" t="s">
        <v>827</v>
      </c>
    </row>
    <row r="204" spans="1:15" ht="27">
      <c r="A204" s="81">
        <f t="shared" si="3"/>
        <v>203</v>
      </c>
      <c r="B204" s="82" t="s">
        <v>1051</v>
      </c>
      <c r="C204" s="83" t="s">
        <v>34</v>
      </c>
      <c r="D204" s="83" t="s">
        <v>35</v>
      </c>
      <c r="E204" s="84">
        <v>5000</v>
      </c>
      <c r="F204" s="85">
        <v>2.39</v>
      </c>
      <c r="G204" s="83" t="s">
        <v>885</v>
      </c>
      <c r="H204" s="83" t="s">
        <v>950</v>
      </c>
      <c r="I204" s="85">
        <f>Planejamento2024[[#This Row],[Qnt de Itens]]*Planejamento2024[[#This Row],[Valor unitário]]</f>
        <v>11950</v>
      </c>
      <c r="J204" s="83" t="s">
        <v>20</v>
      </c>
      <c r="K204" s="83" t="s">
        <v>492</v>
      </c>
      <c r="L204" s="86">
        <v>45292</v>
      </c>
      <c r="M204" s="83" t="s">
        <v>20</v>
      </c>
      <c r="N204" s="87" t="s">
        <v>955</v>
      </c>
      <c r="O204" s="83" t="s">
        <v>827</v>
      </c>
    </row>
    <row r="205" spans="1:15" ht="27">
      <c r="A205" s="81">
        <f t="shared" si="3"/>
        <v>204</v>
      </c>
      <c r="B205" s="82" t="s">
        <v>1052</v>
      </c>
      <c r="C205" s="83" t="s">
        <v>34</v>
      </c>
      <c r="D205" s="83" t="s">
        <v>35</v>
      </c>
      <c r="E205" s="84">
        <v>5000</v>
      </c>
      <c r="F205" s="85">
        <v>2.39</v>
      </c>
      <c r="G205" s="83" t="s">
        <v>885</v>
      </c>
      <c r="H205" s="83" t="s">
        <v>950</v>
      </c>
      <c r="I205" s="85">
        <f>Planejamento2024[[#This Row],[Qnt de Itens]]*Planejamento2024[[#This Row],[Valor unitário]]</f>
        <v>11950</v>
      </c>
      <c r="J205" s="83" t="s">
        <v>20</v>
      </c>
      <c r="K205" s="83" t="s">
        <v>492</v>
      </c>
      <c r="L205" s="86">
        <v>45292</v>
      </c>
      <c r="M205" s="83" t="s">
        <v>20</v>
      </c>
      <c r="N205" s="87" t="s">
        <v>955</v>
      </c>
      <c r="O205" s="83" t="s">
        <v>827</v>
      </c>
    </row>
    <row r="206" spans="1:15" ht="36">
      <c r="A206" s="81">
        <f t="shared" si="3"/>
        <v>205</v>
      </c>
      <c r="B206" s="82" t="s">
        <v>1053</v>
      </c>
      <c r="C206" s="83" t="s">
        <v>34</v>
      </c>
      <c r="D206" s="83" t="s">
        <v>35</v>
      </c>
      <c r="E206" s="84">
        <v>400</v>
      </c>
      <c r="F206" s="85">
        <v>17.45</v>
      </c>
      <c r="G206" s="83" t="s">
        <v>510</v>
      </c>
      <c r="H206" s="83" t="s">
        <v>950</v>
      </c>
      <c r="I206" s="85">
        <f>Planejamento2024[[#This Row],[Qnt de Itens]]*Planejamento2024[[#This Row],[Valor unitário]]</f>
        <v>6980</v>
      </c>
      <c r="J206" s="83" t="s">
        <v>20</v>
      </c>
      <c r="K206" s="83" t="s">
        <v>492</v>
      </c>
      <c r="L206" s="86">
        <v>45292</v>
      </c>
      <c r="M206" s="83" t="s">
        <v>20</v>
      </c>
      <c r="N206" s="87"/>
      <c r="O206" s="83" t="s">
        <v>827</v>
      </c>
    </row>
    <row r="207" spans="1:15" ht="27">
      <c r="A207" s="81">
        <f t="shared" si="3"/>
        <v>206</v>
      </c>
      <c r="B207" s="82" t="s">
        <v>1054</v>
      </c>
      <c r="C207" s="83" t="s">
        <v>34</v>
      </c>
      <c r="D207" s="83" t="s">
        <v>35</v>
      </c>
      <c r="E207" s="84">
        <v>10000</v>
      </c>
      <c r="F207" s="85">
        <v>1.1000000000000001</v>
      </c>
      <c r="G207" s="83" t="s">
        <v>1055</v>
      </c>
      <c r="H207" s="83" t="s">
        <v>950</v>
      </c>
      <c r="I207" s="85">
        <f>Planejamento2024[[#This Row],[Qnt de Itens]]*Planejamento2024[[#This Row],[Valor unitário]]</f>
        <v>11000</v>
      </c>
      <c r="J207" s="83" t="s">
        <v>20</v>
      </c>
      <c r="K207" s="83" t="s">
        <v>492</v>
      </c>
      <c r="L207" s="86">
        <v>45292</v>
      </c>
      <c r="M207" s="83" t="s">
        <v>20</v>
      </c>
      <c r="N207" s="87"/>
      <c r="O207" s="83" t="s">
        <v>827</v>
      </c>
    </row>
    <row r="208" spans="1:15" ht="27">
      <c r="A208" s="81">
        <f t="shared" si="3"/>
        <v>207</v>
      </c>
      <c r="B208" s="82" t="s">
        <v>1056</v>
      </c>
      <c r="C208" s="83" t="s">
        <v>34</v>
      </c>
      <c r="D208" s="83" t="s">
        <v>35</v>
      </c>
      <c r="E208" s="84">
        <v>500</v>
      </c>
      <c r="F208" s="85">
        <v>24.9</v>
      </c>
      <c r="G208" s="83" t="s">
        <v>890</v>
      </c>
      <c r="H208" s="83" t="s">
        <v>950</v>
      </c>
      <c r="I208" s="85">
        <f>Planejamento2024[[#This Row],[Qnt de Itens]]*Planejamento2024[[#This Row],[Valor unitário]]</f>
        <v>12450</v>
      </c>
      <c r="J208" s="83" t="s">
        <v>20</v>
      </c>
      <c r="K208" s="83" t="s">
        <v>492</v>
      </c>
      <c r="L208" s="86">
        <v>45292</v>
      </c>
      <c r="M208" s="83" t="s">
        <v>20</v>
      </c>
      <c r="N208" s="87" t="s">
        <v>955</v>
      </c>
      <c r="O208" s="83" t="s">
        <v>827</v>
      </c>
    </row>
    <row r="209" spans="1:15" ht="27">
      <c r="A209" s="81">
        <f t="shared" si="3"/>
        <v>208</v>
      </c>
      <c r="B209" s="92" t="s">
        <v>1057</v>
      </c>
      <c r="C209" s="83" t="s">
        <v>34</v>
      </c>
      <c r="D209" s="83" t="s">
        <v>35</v>
      </c>
      <c r="E209" s="93">
        <v>40000</v>
      </c>
      <c r="F209" s="94"/>
      <c r="G209" s="95" t="s">
        <v>885</v>
      </c>
      <c r="H209" s="83" t="s">
        <v>950</v>
      </c>
      <c r="I209" s="85">
        <f>Planejamento2024[[#This Row],[Qnt de Itens]]*Planejamento2024[[#This Row],[Valor unitário]]</f>
        <v>0</v>
      </c>
      <c r="J209" s="83" t="s">
        <v>20</v>
      </c>
      <c r="K209" s="83" t="s">
        <v>478</v>
      </c>
      <c r="L209" s="86">
        <v>45292</v>
      </c>
      <c r="M209" s="83" t="s">
        <v>20</v>
      </c>
      <c r="N209" s="87" t="s">
        <v>955</v>
      </c>
      <c r="O209" s="83" t="s">
        <v>827</v>
      </c>
    </row>
    <row r="210" spans="1:15" ht="18">
      <c r="A210" s="81">
        <f t="shared" si="3"/>
        <v>209</v>
      </c>
      <c r="B210" s="82" t="s">
        <v>1058</v>
      </c>
      <c r="C210" s="83" t="s">
        <v>34</v>
      </c>
      <c r="D210" s="83" t="s">
        <v>35</v>
      </c>
      <c r="E210" s="84">
        <v>20000</v>
      </c>
      <c r="F210" s="85">
        <v>0.41</v>
      </c>
      <c r="G210" s="83" t="s">
        <v>1059</v>
      </c>
      <c r="H210" s="83" t="s">
        <v>950</v>
      </c>
      <c r="I210" s="85">
        <f>Planejamento2024[[#This Row],[Qnt de Itens]]*Planejamento2024[[#This Row],[Valor unitário]]</f>
        <v>8200</v>
      </c>
      <c r="J210" s="83" t="s">
        <v>20</v>
      </c>
      <c r="K210" s="83" t="s">
        <v>478</v>
      </c>
      <c r="L210" s="86">
        <v>45292</v>
      </c>
      <c r="M210" s="83" t="s">
        <v>20</v>
      </c>
      <c r="N210" s="87" t="s">
        <v>955</v>
      </c>
      <c r="O210" s="83" t="s">
        <v>827</v>
      </c>
    </row>
    <row r="211" spans="1:15" ht="36">
      <c r="A211" s="81">
        <f t="shared" si="3"/>
        <v>210</v>
      </c>
      <c r="B211" s="82" t="s">
        <v>1060</v>
      </c>
      <c r="C211" s="83" t="s">
        <v>34</v>
      </c>
      <c r="D211" s="83" t="s">
        <v>35</v>
      </c>
      <c r="E211" s="84">
        <v>17000</v>
      </c>
      <c r="F211" s="85">
        <v>8</v>
      </c>
      <c r="G211" s="83" t="s">
        <v>890</v>
      </c>
      <c r="H211" s="83" t="s">
        <v>950</v>
      </c>
      <c r="I211" s="85">
        <f>Planejamento2024[[#This Row],[Qnt de Itens]]*Planejamento2024[[#This Row],[Valor unitário]]</f>
        <v>136000</v>
      </c>
      <c r="J211" s="83" t="s">
        <v>20</v>
      </c>
      <c r="K211" s="83" t="s">
        <v>415</v>
      </c>
      <c r="L211" s="86">
        <v>45292</v>
      </c>
      <c r="M211" s="83" t="s">
        <v>20</v>
      </c>
      <c r="N211" s="87"/>
      <c r="O211" s="83" t="s">
        <v>827</v>
      </c>
    </row>
    <row r="212" spans="1:15" ht="27">
      <c r="A212" s="81">
        <f t="shared" si="3"/>
        <v>211</v>
      </c>
      <c r="B212" s="82" t="s">
        <v>1061</v>
      </c>
      <c r="C212" s="83" t="s">
        <v>34</v>
      </c>
      <c r="D212" s="83" t="s">
        <v>35</v>
      </c>
      <c r="E212" s="84">
        <v>200</v>
      </c>
      <c r="F212" s="85">
        <v>488.42</v>
      </c>
      <c r="G212" s="83" t="s">
        <v>885</v>
      </c>
      <c r="H212" s="83" t="s">
        <v>950</v>
      </c>
      <c r="I212" s="85">
        <f>Planejamento2024[[#This Row],[Qnt de Itens]]*Planejamento2024[[#This Row],[Valor unitário]]</f>
        <v>97684</v>
      </c>
      <c r="J212" s="83" t="s">
        <v>20</v>
      </c>
      <c r="K212" s="83" t="s">
        <v>492</v>
      </c>
      <c r="L212" s="86">
        <v>45292</v>
      </c>
      <c r="M212" s="83" t="s">
        <v>20</v>
      </c>
      <c r="N212" s="87" t="s">
        <v>955</v>
      </c>
      <c r="O212" s="83" t="s">
        <v>827</v>
      </c>
    </row>
    <row r="213" spans="1:15" ht="45">
      <c r="A213" s="81">
        <f t="shared" si="3"/>
        <v>212</v>
      </c>
      <c r="B213" s="82" t="s">
        <v>1062</v>
      </c>
      <c r="C213" s="83" t="s">
        <v>34</v>
      </c>
      <c r="D213" s="83" t="s">
        <v>35</v>
      </c>
      <c r="E213" s="84">
        <v>1500</v>
      </c>
      <c r="F213" s="85">
        <v>3.32</v>
      </c>
      <c r="G213" s="83" t="s">
        <v>885</v>
      </c>
      <c r="H213" s="83" t="s">
        <v>950</v>
      </c>
      <c r="I213" s="85">
        <f>Planejamento2024[[#This Row],[Qnt de Itens]]*Planejamento2024[[#This Row],[Valor unitário]]</f>
        <v>4980</v>
      </c>
      <c r="J213" s="83" t="s">
        <v>20</v>
      </c>
      <c r="K213" s="83" t="s">
        <v>415</v>
      </c>
      <c r="L213" s="86">
        <v>45292</v>
      </c>
      <c r="M213" s="83" t="s">
        <v>20</v>
      </c>
      <c r="N213" s="87" t="s">
        <v>955</v>
      </c>
      <c r="O213" s="83" t="s">
        <v>827</v>
      </c>
    </row>
    <row r="214" spans="1:15" ht="45">
      <c r="A214" s="81">
        <f t="shared" si="3"/>
        <v>213</v>
      </c>
      <c r="B214" s="82" t="s">
        <v>1063</v>
      </c>
      <c r="C214" s="83" t="s">
        <v>34</v>
      </c>
      <c r="D214" s="83" t="s">
        <v>35</v>
      </c>
      <c r="E214" s="84">
        <v>15000</v>
      </c>
      <c r="F214" s="85">
        <v>58.07</v>
      </c>
      <c r="G214" s="83" t="s">
        <v>885</v>
      </c>
      <c r="H214" s="83" t="s">
        <v>950</v>
      </c>
      <c r="I214" s="85">
        <f>Planejamento2024[[#This Row],[Qnt de Itens]]*Planejamento2024[[#This Row],[Valor unitário]]</f>
        <v>871050</v>
      </c>
      <c r="J214" s="83" t="s">
        <v>20</v>
      </c>
      <c r="K214" s="83" t="s">
        <v>415</v>
      </c>
      <c r="L214" s="86">
        <v>45292</v>
      </c>
      <c r="M214" s="83" t="s">
        <v>20</v>
      </c>
      <c r="N214" s="87" t="s">
        <v>955</v>
      </c>
      <c r="O214" s="83" t="s">
        <v>827</v>
      </c>
    </row>
    <row r="215" spans="1:15" ht="45">
      <c r="A215" s="81">
        <f t="shared" si="3"/>
        <v>214</v>
      </c>
      <c r="B215" s="92" t="s">
        <v>1064</v>
      </c>
      <c r="C215" s="83" t="s">
        <v>34</v>
      </c>
      <c r="D215" s="83" t="s">
        <v>35</v>
      </c>
      <c r="E215" s="93">
        <v>150</v>
      </c>
      <c r="F215" s="94">
        <v>30</v>
      </c>
      <c r="G215" s="95" t="s">
        <v>1011</v>
      </c>
      <c r="H215" s="83" t="s">
        <v>950</v>
      </c>
      <c r="I215" s="85">
        <f>Planejamento2024[[#This Row],[Qnt de Itens]]*Planejamento2024[[#This Row],[Valor unitário]]</f>
        <v>4500</v>
      </c>
      <c r="J215" s="83" t="s">
        <v>20</v>
      </c>
      <c r="K215" s="83" t="s">
        <v>492</v>
      </c>
      <c r="L215" s="86">
        <v>45292</v>
      </c>
      <c r="M215" s="83" t="s">
        <v>20</v>
      </c>
      <c r="N215" s="87"/>
      <c r="O215" s="83" t="s">
        <v>827</v>
      </c>
    </row>
    <row r="216" spans="1:15" ht="45">
      <c r="A216" s="81">
        <f t="shared" si="3"/>
        <v>215</v>
      </c>
      <c r="B216" s="92" t="s">
        <v>1065</v>
      </c>
      <c r="C216" s="83" t="s">
        <v>34</v>
      </c>
      <c r="D216" s="83" t="s">
        <v>35</v>
      </c>
      <c r="E216" s="93">
        <v>150</v>
      </c>
      <c r="F216" s="94">
        <v>30</v>
      </c>
      <c r="G216" s="95" t="s">
        <v>1011</v>
      </c>
      <c r="H216" s="83" t="s">
        <v>950</v>
      </c>
      <c r="I216" s="85">
        <f>Planejamento2024[[#This Row],[Qnt de Itens]]*Planejamento2024[[#This Row],[Valor unitário]]</f>
        <v>4500</v>
      </c>
      <c r="J216" s="83" t="s">
        <v>20</v>
      </c>
      <c r="K216" s="83" t="s">
        <v>492</v>
      </c>
      <c r="L216" s="86">
        <v>45292</v>
      </c>
      <c r="M216" s="83" t="s">
        <v>20</v>
      </c>
      <c r="N216" s="87"/>
      <c r="O216" s="83" t="s">
        <v>827</v>
      </c>
    </row>
    <row r="217" spans="1:15" ht="45">
      <c r="A217" s="81">
        <f t="shared" si="3"/>
        <v>216</v>
      </c>
      <c r="B217" s="82" t="s">
        <v>1066</v>
      </c>
      <c r="C217" s="83" t="s">
        <v>34</v>
      </c>
      <c r="D217" s="83" t="s">
        <v>35</v>
      </c>
      <c r="E217" s="84">
        <v>150</v>
      </c>
      <c r="F217" s="85">
        <v>35</v>
      </c>
      <c r="G217" s="83" t="s">
        <v>885</v>
      </c>
      <c r="H217" s="83" t="s">
        <v>950</v>
      </c>
      <c r="I217" s="85">
        <f>Planejamento2024[[#This Row],[Qnt de Itens]]*Planejamento2024[[#This Row],[Valor unitário]]</f>
        <v>5250</v>
      </c>
      <c r="J217" s="83" t="s">
        <v>20</v>
      </c>
      <c r="K217" s="83" t="s">
        <v>492</v>
      </c>
      <c r="L217" s="86">
        <v>45292</v>
      </c>
      <c r="M217" s="83" t="s">
        <v>20</v>
      </c>
      <c r="N217" s="87"/>
      <c r="O217" s="83" t="s">
        <v>827</v>
      </c>
    </row>
    <row r="218" spans="1:15" ht="36">
      <c r="A218" s="81">
        <f t="shared" si="3"/>
        <v>217</v>
      </c>
      <c r="B218" s="82" t="s">
        <v>1067</v>
      </c>
      <c r="C218" s="83" t="s">
        <v>34</v>
      </c>
      <c r="D218" s="83" t="s">
        <v>35</v>
      </c>
      <c r="E218" s="84">
        <v>10000</v>
      </c>
      <c r="F218" s="85">
        <v>4.57</v>
      </c>
      <c r="G218" s="83" t="s">
        <v>885</v>
      </c>
      <c r="H218" s="83" t="s">
        <v>950</v>
      </c>
      <c r="I218" s="85">
        <f>Planejamento2024[[#This Row],[Qnt de Itens]]*Planejamento2024[[#This Row],[Valor unitário]]</f>
        <v>45700</v>
      </c>
      <c r="J218" s="83" t="s">
        <v>20</v>
      </c>
      <c r="K218" s="83" t="s">
        <v>415</v>
      </c>
      <c r="L218" s="86">
        <v>45292</v>
      </c>
      <c r="M218" s="83" t="s">
        <v>20</v>
      </c>
      <c r="N218" s="87" t="s">
        <v>955</v>
      </c>
      <c r="O218" s="83" t="s">
        <v>827</v>
      </c>
    </row>
    <row r="219" spans="1:15" ht="36">
      <c r="A219" s="81">
        <f t="shared" si="3"/>
        <v>218</v>
      </c>
      <c r="B219" s="82" t="s">
        <v>1068</v>
      </c>
      <c r="C219" s="83" t="s">
        <v>34</v>
      </c>
      <c r="D219" s="83" t="s">
        <v>35</v>
      </c>
      <c r="E219" s="84">
        <v>6000</v>
      </c>
      <c r="F219" s="85">
        <v>6.91</v>
      </c>
      <c r="G219" s="83" t="s">
        <v>885</v>
      </c>
      <c r="H219" s="83" t="s">
        <v>950</v>
      </c>
      <c r="I219" s="85">
        <f>Planejamento2024[[#This Row],[Qnt de Itens]]*Planejamento2024[[#This Row],[Valor unitário]]</f>
        <v>41460</v>
      </c>
      <c r="J219" s="83" t="s">
        <v>20</v>
      </c>
      <c r="K219" s="83" t="s">
        <v>415</v>
      </c>
      <c r="L219" s="86">
        <v>45292</v>
      </c>
      <c r="M219" s="83" t="s">
        <v>20</v>
      </c>
      <c r="N219" s="87" t="s">
        <v>955</v>
      </c>
      <c r="O219" s="83" t="s">
        <v>827</v>
      </c>
    </row>
    <row r="220" spans="1:15" ht="36">
      <c r="A220" s="81">
        <f t="shared" si="3"/>
        <v>219</v>
      </c>
      <c r="B220" s="82" t="s">
        <v>1069</v>
      </c>
      <c r="C220" s="83" t="s">
        <v>34</v>
      </c>
      <c r="D220" s="83" t="s">
        <v>35</v>
      </c>
      <c r="E220" s="84">
        <v>2000</v>
      </c>
      <c r="F220" s="85">
        <v>3.04</v>
      </c>
      <c r="G220" s="83" t="s">
        <v>885</v>
      </c>
      <c r="H220" s="83" t="s">
        <v>950</v>
      </c>
      <c r="I220" s="85">
        <f>Planejamento2024[[#This Row],[Qnt de Itens]]*Planejamento2024[[#This Row],[Valor unitário]]</f>
        <v>6080</v>
      </c>
      <c r="J220" s="83" t="s">
        <v>20</v>
      </c>
      <c r="K220" s="83" t="s">
        <v>415</v>
      </c>
      <c r="L220" s="86">
        <v>45292</v>
      </c>
      <c r="M220" s="83" t="s">
        <v>20</v>
      </c>
      <c r="N220" s="87" t="s">
        <v>955</v>
      </c>
      <c r="O220" s="83" t="s">
        <v>827</v>
      </c>
    </row>
    <row r="221" spans="1:15" ht="45">
      <c r="A221" s="81">
        <f t="shared" si="3"/>
        <v>220</v>
      </c>
      <c r="B221" s="92" t="s">
        <v>1070</v>
      </c>
      <c r="C221" s="83" t="s">
        <v>34</v>
      </c>
      <c r="D221" s="83" t="s">
        <v>35</v>
      </c>
      <c r="E221" s="93">
        <v>500</v>
      </c>
      <c r="F221" s="94">
        <v>52.55</v>
      </c>
      <c r="G221" s="95" t="s">
        <v>510</v>
      </c>
      <c r="H221" s="83" t="s">
        <v>950</v>
      </c>
      <c r="I221" s="85">
        <f>Planejamento2024[[#This Row],[Qnt de Itens]]*Planejamento2024[[#This Row],[Valor unitário]]</f>
        <v>26275</v>
      </c>
      <c r="J221" s="83" t="s">
        <v>20</v>
      </c>
      <c r="K221" s="83" t="s">
        <v>415</v>
      </c>
      <c r="L221" s="86">
        <v>45292</v>
      </c>
      <c r="M221" s="83" t="s">
        <v>20</v>
      </c>
      <c r="N221" s="87" t="s">
        <v>955</v>
      </c>
      <c r="O221" s="83" t="s">
        <v>827</v>
      </c>
    </row>
    <row r="222" spans="1:15" ht="45">
      <c r="A222" s="81">
        <f t="shared" si="3"/>
        <v>221</v>
      </c>
      <c r="B222" s="92" t="s">
        <v>1071</v>
      </c>
      <c r="C222" s="83" t="s">
        <v>34</v>
      </c>
      <c r="D222" s="83" t="s">
        <v>35</v>
      </c>
      <c r="E222" s="93">
        <v>500</v>
      </c>
      <c r="F222" s="94">
        <v>52.55</v>
      </c>
      <c r="G222" s="95" t="s">
        <v>510</v>
      </c>
      <c r="H222" s="83" t="s">
        <v>950</v>
      </c>
      <c r="I222" s="85">
        <f>Planejamento2024[[#This Row],[Qnt de Itens]]*Planejamento2024[[#This Row],[Valor unitário]]</f>
        <v>26275</v>
      </c>
      <c r="J222" s="83" t="s">
        <v>20</v>
      </c>
      <c r="K222" s="83" t="s">
        <v>415</v>
      </c>
      <c r="L222" s="86">
        <v>45292</v>
      </c>
      <c r="M222" s="83" t="s">
        <v>20</v>
      </c>
      <c r="N222" s="87" t="s">
        <v>955</v>
      </c>
      <c r="O222" s="83" t="s">
        <v>827</v>
      </c>
    </row>
    <row r="223" spans="1:15" ht="54">
      <c r="A223" s="81">
        <f t="shared" si="3"/>
        <v>222</v>
      </c>
      <c r="B223" s="92" t="s">
        <v>1072</v>
      </c>
      <c r="C223" s="83" t="s">
        <v>34</v>
      </c>
      <c r="D223" s="83" t="s">
        <v>35</v>
      </c>
      <c r="E223" s="93">
        <v>500</v>
      </c>
      <c r="F223" s="94">
        <v>52.55</v>
      </c>
      <c r="G223" s="95" t="s">
        <v>510</v>
      </c>
      <c r="H223" s="83" t="s">
        <v>950</v>
      </c>
      <c r="I223" s="85">
        <f>Planejamento2024[[#This Row],[Qnt de Itens]]*Planejamento2024[[#This Row],[Valor unitário]]</f>
        <v>26275</v>
      </c>
      <c r="J223" s="83" t="s">
        <v>20</v>
      </c>
      <c r="K223" s="83" t="s">
        <v>415</v>
      </c>
      <c r="L223" s="86">
        <v>45292</v>
      </c>
      <c r="M223" s="83" t="s">
        <v>20</v>
      </c>
      <c r="N223" s="87" t="s">
        <v>955</v>
      </c>
      <c r="O223" s="83" t="s">
        <v>827</v>
      </c>
    </row>
    <row r="224" spans="1:15" ht="18">
      <c r="A224" s="81">
        <f t="shared" si="3"/>
        <v>223</v>
      </c>
      <c r="B224" s="82" t="s">
        <v>1073</v>
      </c>
      <c r="C224" s="83" t="s">
        <v>34</v>
      </c>
      <c r="D224" s="83" t="s">
        <v>35</v>
      </c>
      <c r="E224" s="84">
        <v>800</v>
      </c>
      <c r="F224" s="85">
        <v>5.53</v>
      </c>
      <c r="G224" s="83" t="s">
        <v>885</v>
      </c>
      <c r="H224" s="83" t="s">
        <v>950</v>
      </c>
      <c r="I224" s="85">
        <f>Planejamento2024[[#This Row],[Qnt de Itens]]*Planejamento2024[[#This Row],[Valor unitário]]</f>
        <v>4424</v>
      </c>
      <c r="J224" s="83" t="s">
        <v>20</v>
      </c>
      <c r="K224" s="83" t="s">
        <v>492</v>
      </c>
      <c r="L224" s="86">
        <v>45292</v>
      </c>
      <c r="M224" s="83" t="s">
        <v>20</v>
      </c>
      <c r="N224" s="87" t="s">
        <v>955</v>
      </c>
      <c r="O224" s="83" t="s">
        <v>827</v>
      </c>
    </row>
    <row r="225" spans="1:15" ht="72">
      <c r="A225" s="81">
        <f t="shared" si="3"/>
        <v>224</v>
      </c>
      <c r="B225" s="82" t="s">
        <v>1074</v>
      </c>
      <c r="C225" s="83" t="s">
        <v>34</v>
      </c>
      <c r="D225" s="83" t="s">
        <v>35</v>
      </c>
      <c r="E225" s="84">
        <v>350</v>
      </c>
      <c r="F225" s="85">
        <v>1521.13</v>
      </c>
      <c r="G225" s="83" t="s">
        <v>953</v>
      </c>
      <c r="H225" s="83" t="s">
        <v>950</v>
      </c>
      <c r="I225" s="85">
        <f>Planejamento2024[[#This Row],[Qnt de Itens]]*Planejamento2024[[#This Row],[Valor unitário]]</f>
        <v>532395.5</v>
      </c>
      <c r="J225" s="83" t="s">
        <v>20</v>
      </c>
      <c r="K225" s="83" t="s">
        <v>492</v>
      </c>
      <c r="L225" s="86">
        <v>45292</v>
      </c>
      <c r="M225" s="83" t="s">
        <v>20</v>
      </c>
      <c r="N225" s="87" t="s">
        <v>955</v>
      </c>
      <c r="O225" s="83" t="s">
        <v>827</v>
      </c>
    </row>
    <row r="226" spans="1:15" ht="27">
      <c r="A226" s="81">
        <f t="shared" si="3"/>
        <v>225</v>
      </c>
      <c r="B226" s="82" t="s">
        <v>1075</v>
      </c>
      <c r="C226" s="83" t="s">
        <v>34</v>
      </c>
      <c r="D226" s="83" t="s">
        <v>35</v>
      </c>
      <c r="E226" s="84">
        <v>200</v>
      </c>
      <c r="F226" s="85">
        <v>414.85</v>
      </c>
      <c r="G226" s="83" t="s">
        <v>953</v>
      </c>
      <c r="H226" s="83" t="s">
        <v>950</v>
      </c>
      <c r="I226" s="85">
        <f>Planejamento2024[[#This Row],[Qnt de Itens]]*Planejamento2024[[#This Row],[Valor unitário]]</f>
        <v>82970</v>
      </c>
      <c r="J226" s="83" t="s">
        <v>20</v>
      </c>
      <c r="K226" s="83" t="s">
        <v>492</v>
      </c>
      <c r="L226" s="86">
        <v>45292</v>
      </c>
      <c r="M226" s="83" t="s">
        <v>20</v>
      </c>
      <c r="N226" s="87" t="s">
        <v>955</v>
      </c>
      <c r="O226" s="83" t="s">
        <v>827</v>
      </c>
    </row>
    <row r="227" spans="1:15" ht="36">
      <c r="A227" s="81">
        <f t="shared" si="3"/>
        <v>226</v>
      </c>
      <c r="B227" s="82" t="s">
        <v>1076</v>
      </c>
      <c r="C227" s="83" t="s">
        <v>34</v>
      </c>
      <c r="D227" s="83" t="s">
        <v>35</v>
      </c>
      <c r="E227" s="84">
        <v>50</v>
      </c>
      <c r="F227" s="85">
        <v>96.8</v>
      </c>
      <c r="G227" s="83" t="s">
        <v>885</v>
      </c>
      <c r="H227" s="83" t="s">
        <v>950</v>
      </c>
      <c r="I227" s="85">
        <f>Planejamento2024[[#This Row],[Qnt de Itens]]*Planejamento2024[[#This Row],[Valor unitário]]</f>
        <v>4840</v>
      </c>
      <c r="J227" s="83" t="s">
        <v>20</v>
      </c>
      <c r="K227" s="83" t="s">
        <v>492</v>
      </c>
      <c r="L227" s="86">
        <v>45292</v>
      </c>
      <c r="M227" s="83" t="s">
        <v>20</v>
      </c>
      <c r="N227" s="87" t="s">
        <v>955</v>
      </c>
      <c r="O227" s="83" t="s">
        <v>827</v>
      </c>
    </row>
    <row r="228" spans="1:15" ht="27">
      <c r="A228" s="81">
        <f t="shared" si="3"/>
        <v>227</v>
      </c>
      <c r="B228" s="92" t="s">
        <v>1077</v>
      </c>
      <c r="C228" s="83" t="s">
        <v>34</v>
      </c>
      <c r="D228" s="83" t="s">
        <v>35</v>
      </c>
      <c r="E228" s="93">
        <v>400</v>
      </c>
      <c r="F228" s="94"/>
      <c r="G228" s="95" t="s">
        <v>885</v>
      </c>
      <c r="H228" s="83" t="s">
        <v>950</v>
      </c>
      <c r="I228" s="85">
        <f>Planejamento2024[[#This Row],[Qnt de Itens]]*Planejamento2024[[#This Row],[Valor unitário]]</f>
        <v>0</v>
      </c>
      <c r="J228" s="83" t="s">
        <v>20</v>
      </c>
      <c r="K228" s="83" t="s">
        <v>415</v>
      </c>
      <c r="L228" s="86">
        <v>45292</v>
      </c>
      <c r="M228" s="83" t="s">
        <v>20</v>
      </c>
      <c r="N228" s="87" t="s">
        <v>955</v>
      </c>
      <c r="O228" s="83" t="s">
        <v>827</v>
      </c>
    </row>
    <row r="229" spans="1:15" ht="18">
      <c r="A229" s="81">
        <f t="shared" si="3"/>
        <v>228</v>
      </c>
      <c r="B229" s="82" t="s">
        <v>1078</v>
      </c>
      <c r="C229" s="83" t="s">
        <v>34</v>
      </c>
      <c r="D229" s="83" t="s">
        <v>35</v>
      </c>
      <c r="E229" s="84">
        <v>15000</v>
      </c>
      <c r="F229" s="85">
        <v>1.38</v>
      </c>
      <c r="G229" s="83" t="s">
        <v>885</v>
      </c>
      <c r="H229" s="83" t="s">
        <v>950</v>
      </c>
      <c r="I229" s="85">
        <f>Planejamento2024[[#This Row],[Qnt de Itens]]*Planejamento2024[[#This Row],[Valor unitário]]</f>
        <v>20700</v>
      </c>
      <c r="J229" s="83" t="s">
        <v>20</v>
      </c>
      <c r="K229" s="83" t="s">
        <v>415</v>
      </c>
      <c r="L229" s="86">
        <v>45292</v>
      </c>
      <c r="M229" s="83" t="s">
        <v>20</v>
      </c>
      <c r="N229" s="87" t="s">
        <v>955</v>
      </c>
      <c r="O229" s="83" t="s">
        <v>827</v>
      </c>
    </row>
    <row r="230" spans="1:15" ht="18">
      <c r="A230" s="81">
        <f t="shared" si="3"/>
        <v>229</v>
      </c>
      <c r="B230" s="82" t="s">
        <v>1079</v>
      </c>
      <c r="C230" s="83" t="s">
        <v>34</v>
      </c>
      <c r="D230" s="83" t="s">
        <v>35</v>
      </c>
      <c r="E230" s="84">
        <v>1500</v>
      </c>
      <c r="F230" s="85">
        <v>5.53</v>
      </c>
      <c r="G230" s="83" t="s">
        <v>885</v>
      </c>
      <c r="H230" s="83" t="s">
        <v>950</v>
      </c>
      <c r="I230" s="85">
        <f>Planejamento2024[[#This Row],[Qnt de Itens]]*Planejamento2024[[#This Row],[Valor unitário]]</f>
        <v>8295</v>
      </c>
      <c r="J230" s="83" t="s">
        <v>20</v>
      </c>
      <c r="K230" s="83" t="s">
        <v>492</v>
      </c>
      <c r="L230" s="86">
        <v>45292</v>
      </c>
      <c r="M230" s="83" t="s">
        <v>20</v>
      </c>
      <c r="N230" s="87" t="s">
        <v>955</v>
      </c>
      <c r="O230" s="83" t="s">
        <v>827</v>
      </c>
    </row>
    <row r="231" spans="1:15" ht="18">
      <c r="A231" s="81">
        <f t="shared" si="3"/>
        <v>230</v>
      </c>
      <c r="B231" s="82" t="s">
        <v>1080</v>
      </c>
      <c r="C231" s="83" t="s">
        <v>34</v>
      </c>
      <c r="D231" s="83" t="s">
        <v>35</v>
      </c>
      <c r="E231" s="84">
        <v>1600</v>
      </c>
      <c r="F231" s="85">
        <v>26.17</v>
      </c>
      <c r="G231" s="83" t="s">
        <v>885</v>
      </c>
      <c r="H231" s="83" t="s">
        <v>950</v>
      </c>
      <c r="I231" s="85">
        <f>Planejamento2024[[#This Row],[Qnt de Itens]]*Planejamento2024[[#This Row],[Valor unitário]]</f>
        <v>41872</v>
      </c>
      <c r="J231" s="83" t="s">
        <v>20</v>
      </c>
      <c r="K231" s="83" t="s">
        <v>415</v>
      </c>
      <c r="L231" s="86">
        <v>45292</v>
      </c>
      <c r="M231" s="83" t="s">
        <v>38</v>
      </c>
      <c r="N231" s="87" t="s">
        <v>951</v>
      </c>
      <c r="O231" s="83" t="s">
        <v>827</v>
      </c>
    </row>
    <row r="232" spans="1:15" ht="18">
      <c r="A232" s="81">
        <f t="shared" si="3"/>
        <v>231</v>
      </c>
      <c r="B232" s="82" t="s">
        <v>1081</v>
      </c>
      <c r="C232" s="83" t="s">
        <v>34</v>
      </c>
      <c r="D232" s="83" t="s">
        <v>35</v>
      </c>
      <c r="E232" s="84">
        <v>1000</v>
      </c>
      <c r="F232" s="85">
        <v>25.33</v>
      </c>
      <c r="G232" s="83" t="s">
        <v>988</v>
      </c>
      <c r="H232" s="83" t="s">
        <v>950</v>
      </c>
      <c r="I232" s="85">
        <f>Planejamento2024[[#This Row],[Qnt de Itens]]*Planejamento2024[[#This Row],[Valor unitário]]</f>
        <v>25330</v>
      </c>
      <c r="J232" s="83" t="s">
        <v>20</v>
      </c>
      <c r="K232" s="83" t="s">
        <v>415</v>
      </c>
      <c r="L232" s="86">
        <v>45292</v>
      </c>
      <c r="M232" s="83" t="s">
        <v>38</v>
      </c>
      <c r="N232" s="87" t="s">
        <v>951</v>
      </c>
      <c r="O232" s="83" t="s">
        <v>827</v>
      </c>
    </row>
    <row r="233" spans="1:15" ht="36">
      <c r="A233" s="81">
        <f t="shared" si="3"/>
        <v>232</v>
      </c>
      <c r="B233" s="82" t="s">
        <v>1082</v>
      </c>
      <c r="C233" s="83" t="s">
        <v>34</v>
      </c>
      <c r="D233" s="83" t="s">
        <v>35</v>
      </c>
      <c r="E233" s="84">
        <v>420</v>
      </c>
      <c r="F233" s="85">
        <v>11.29</v>
      </c>
      <c r="G233" s="83" t="s">
        <v>988</v>
      </c>
      <c r="H233" s="83" t="s">
        <v>950</v>
      </c>
      <c r="I233" s="85">
        <f>Planejamento2024[[#This Row],[Qnt de Itens]]*Planejamento2024[[#This Row],[Valor unitário]]</f>
        <v>4741.7999999999993</v>
      </c>
      <c r="J233" s="83" t="s">
        <v>20</v>
      </c>
      <c r="K233" s="83" t="s">
        <v>415</v>
      </c>
      <c r="L233" s="86">
        <v>45292</v>
      </c>
      <c r="M233" s="83" t="s">
        <v>38</v>
      </c>
      <c r="N233" s="87" t="s">
        <v>951</v>
      </c>
      <c r="O233" s="83" t="s">
        <v>827</v>
      </c>
    </row>
    <row r="234" spans="1:15" ht="45">
      <c r="A234" s="81">
        <f t="shared" si="3"/>
        <v>233</v>
      </c>
      <c r="B234" s="82" t="s">
        <v>1083</v>
      </c>
      <c r="C234" s="83" t="s">
        <v>34</v>
      </c>
      <c r="D234" s="83" t="s">
        <v>35</v>
      </c>
      <c r="E234" s="84">
        <v>15000</v>
      </c>
      <c r="F234" s="85">
        <v>12.44</v>
      </c>
      <c r="G234" s="83" t="s">
        <v>885</v>
      </c>
      <c r="H234" s="83" t="s">
        <v>950</v>
      </c>
      <c r="I234" s="85">
        <f>Planejamento2024[[#This Row],[Qnt de Itens]]*Planejamento2024[[#This Row],[Valor unitário]]</f>
        <v>186600</v>
      </c>
      <c r="J234" s="83" t="s">
        <v>20</v>
      </c>
      <c r="K234" s="83" t="s">
        <v>415</v>
      </c>
      <c r="L234" s="86">
        <v>45292</v>
      </c>
      <c r="M234" s="83" t="s">
        <v>20</v>
      </c>
      <c r="N234" s="87" t="s">
        <v>955</v>
      </c>
      <c r="O234" s="83" t="s">
        <v>827</v>
      </c>
    </row>
    <row r="235" spans="1:15" ht="27">
      <c r="A235" s="81">
        <f t="shared" si="3"/>
        <v>234</v>
      </c>
      <c r="B235" s="92" t="s">
        <v>1084</v>
      </c>
      <c r="C235" s="83" t="s">
        <v>34</v>
      </c>
      <c r="D235" s="83" t="s">
        <v>35</v>
      </c>
      <c r="E235" s="93">
        <v>5000</v>
      </c>
      <c r="F235" s="94">
        <v>6.99</v>
      </c>
      <c r="G235" s="95" t="s">
        <v>1085</v>
      </c>
      <c r="H235" s="83" t="s">
        <v>950</v>
      </c>
      <c r="I235" s="85">
        <f>Planejamento2024[[#This Row],[Qnt de Itens]]*Planejamento2024[[#This Row],[Valor unitário]]</f>
        <v>34950</v>
      </c>
      <c r="J235" s="83" t="s">
        <v>20</v>
      </c>
      <c r="K235" s="83" t="s">
        <v>478</v>
      </c>
      <c r="L235" s="86">
        <v>45292</v>
      </c>
      <c r="M235" s="83" t="s">
        <v>20</v>
      </c>
      <c r="N235" s="87"/>
      <c r="O235" s="83" t="s">
        <v>827</v>
      </c>
    </row>
    <row r="236" spans="1:15" ht="18">
      <c r="A236" s="81">
        <f t="shared" si="3"/>
        <v>235</v>
      </c>
      <c r="B236" s="82" t="s">
        <v>1086</v>
      </c>
      <c r="C236" s="83" t="s">
        <v>34</v>
      </c>
      <c r="D236" s="83" t="s">
        <v>35</v>
      </c>
      <c r="E236" s="84">
        <v>6000</v>
      </c>
      <c r="F236" s="85">
        <v>22.12</v>
      </c>
      <c r="G236" s="83" t="s">
        <v>885</v>
      </c>
      <c r="H236" s="83" t="s">
        <v>950</v>
      </c>
      <c r="I236" s="85">
        <f>Planejamento2024[[#This Row],[Qnt de Itens]]*Planejamento2024[[#This Row],[Valor unitário]]</f>
        <v>132720</v>
      </c>
      <c r="J236" s="83" t="s">
        <v>20</v>
      </c>
      <c r="K236" s="83" t="s">
        <v>478</v>
      </c>
      <c r="L236" s="86">
        <v>45292</v>
      </c>
      <c r="M236" s="83" t="s">
        <v>20</v>
      </c>
      <c r="N236" s="87" t="s">
        <v>955</v>
      </c>
      <c r="O236" s="83" t="s">
        <v>827</v>
      </c>
    </row>
    <row r="237" spans="1:15" ht="27">
      <c r="A237" s="81">
        <f t="shared" si="3"/>
        <v>236</v>
      </c>
      <c r="B237" s="82" t="s">
        <v>1087</v>
      </c>
      <c r="C237" s="83" t="s">
        <v>34</v>
      </c>
      <c r="D237" s="83" t="s">
        <v>35</v>
      </c>
      <c r="E237" s="84">
        <v>350</v>
      </c>
      <c r="F237" s="85">
        <v>41.49</v>
      </c>
      <c r="G237" s="83" t="s">
        <v>885</v>
      </c>
      <c r="H237" s="83" t="s">
        <v>950</v>
      </c>
      <c r="I237" s="85">
        <f>Planejamento2024[[#This Row],[Qnt de Itens]]*Planejamento2024[[#This Row],[Valor unitário]]</f>
        <v>14521.5</v>
      </c>
      <c r="J237" s="83" t="s">
        <v>20</v>
      </c>
      <c r="K237" s="83" t="s">
        <v>492</v>
      </c>
      <c r="L237" s="86">
        <v>45292</v>
      </c>
      <c r="M237" s="83" t="s">
        <v>20</v>
      </c>
      <c r="N237" s="87" t="s">
        <v>955</v>
      </c>
      <c r="O237" s="83" t="s">
        <v>827</v>
      </c>
    </row>
    <row r="238" spans="1:15" ht="18">
      <c r="A238" s="81">
        <f t="shared" si="3"/>
        <v>237</v>
      </c>
      <c r="B238" s="82" t="s">
        <v>1088</v>
      </c>
      <c r="C238" s="83" t="s">
        <v>34</v>
      </c>
      <c r="D238" s="83" t="s">
        <v>35</v>
      </c>
      <c r="E238" s="84">
        <v>21000</v>
      </c>
      <c r="F238" s="85">
        <v>13.83</v>
      </c>
      <c r="G238" s="83" t="s">
        <v>885</v>
      </c>
      <c r="H238" s="83" t="s">
        <v>950</v>
      </c>
      <c r="I238" s="85">
        <f>Planejamento2024[[#This Row],[Qnt de Itens]]*Planejamento2024[[#This Row],[Valor unitário]]</f>
        <v>290430</v>
      </c>
      <c r="J238" s="83" t="s">
        <v>20</v>
      </c>
      <c r="K238" s="83" t="s">
        <v>415</v>
      </c>
      <c r="L238" s="86">
        <v>45292</v>
      </c>
      <c r="M238" s="83" t="s">
        <v>20</v>
      </c>
      <c r="N238" s="87" t="s">
        <v>955</v>
      </c>
      <c r="O238" s="83" t="s">
        <v>827</v>
      </c>
    </row>
    <row r="239" spans="1:15" ht="18">
      <c r="A239" s="81">
        <f t="shared" si="3"/>
        <v>238</v>
      </c>
      <c r="B239" s="82" t="s">
        <v>1089</v>
      </c>
      <c r="C239" s="83" t="s">
        <v>34</v>
      </c>
      <c r="D239" s="83" t="s">
        <v>35</v>
      </c>
      <c r="E239" s="84">
        <v>1500</v>
      </c>
      <c r="F239" s="85">
        <v>15.21</v>
      </c>
      <c r="G239" s="83" t="s">
        <v>885</v>
      </c>
      <c r="H239" s="83" t="s">
        <v>950</v>
      </c>
      <c r="I239" s="85">
        <f>Planejamento2024[[#This Row],[Qnt de Itens]]*Planejamento2024[[#This Row],[Valor unitário]]</f>
        <v>22815</v>
      </c>
      <c r="J239" s="83" t="s">
        <v>20</v>
      </c>
      <c r="K239" s="83" t="s">
        <v>415</v>
      </c>
      <c r="L239" s="86">
        <v>45292</v>
      </c>
      <c r="M239" s="83" t="s">
        <v>20</v>
      </c>
      <c r="N239" s="87" t="s">
        <v>955</v>
      </c>
      <c r="O239" s="83" t="s">
        <v>827</v>
      </c>
    </row>
    <row r="240" spans="1:15" ht="45">
      <c r="A240" s="81">
        <f t="shared" si="3"/>
        <v>239</v>
      </c>
      <c r="B240" s="92" t="s">
        <v>1090</v>
      </c>
      <c r="C240" s="83" t="s">
        <v>34</v>
      </c>
      <c r="D240" s="83" t="s">
        <v>35</v>
      </c>
      <c r="E240" s="93">
        <v>300</v>
      </c>
      <c r="F240" s="94">
        <v>7.5</v>
      </c>
      <c r="G240" s="95" t="s">
        <v>510</v>
      </c>
      <c r="H240" s="83" t="s">
        <v>950</v>
      </c>
      <c r="I240" s="85">
        <f>Planejamento2024[[#This Row],[Qnt de Itens]]*Planejamento2024[[#This Row],[Valor unitário]]</f>
        <v>2250</v>
      </c>
      <c r="J240" s="83" t="s">
        <v>20</v>
      </c>
      <c r="K240" s="83" t="s">
        <v>415</v>
      </c>
      <c r="L240" s="86">
        <v>45292</v>
      </c>
      <c r="M240" s="83" t="s">
        <v>20</v>
      </c>
      <c r="N240" s="87"/>
      <c r="O240" s="83" t="s">
        <v>827</v>
      </c>
    </row>
    <row r="241" spans="1:15" ht="45">
      <c r="A241" s="81">
        <f t="shared" si="3"/>
        <v>240</v>
      </c>
      <c r="B241" s="92" t="s">
        <v>1091</v>
      </c>
      <c r="C241" s="83" t="s">
        <v>34</v>
      </c>
      <c r="D241" s="83" t="s">
        <v>35</v>
      </c>
      <c r="E241" s="93">
        <v>200</v>
      </c>
      <c r="F241" s="94">
        <v>7.5</v>
      </c>
      <c r="G241" s="95" t="s">
        <v>510</v>
      </c>
      <c r="H241" s="83" t="s">
        <v>950</v>
      </c>
      <c r="I241" s="85">
        <f>Planejamento2024[[#This Row],[Qnt de Itens]]*Planejamento2024[[#This Row],[Valor unitário]]</f>
        <v>1500</v>
      </c>
      <c r="J241" s="83" t="s">
        <v>20</v>
      </c>
      <c r="K241" s="83" t="s">
        <v>415</v>
      </c>
      <c r="L241" s="86">
        <v>45292</v>
      </c>
      <c r="M241" s="83" t="s">
        <v>20</v>
      </c>
      <c r="N241" s="87"/>
      <c r="O241" s="83" t="s">
        <v>827</v>
      </c>
    </row>
    <row r="242" spans="1:15" ht="45">
      <c r="A242" s="81">
        <f t="shared" si="3"/>
        <v>241</v>
      </c>
      <c r="B242" s="92" t="s">
        <v>1092</v>
      </c>
      <c r="C242" s="83" t="s">
        <v>34</v>
      </c>
      <c r="D242" s="83" t="s">
        <v>35</v>
      </c>
      <c r="E242" s="93">
        <v>200</v>
      </c>
      <c r="F242" s="94">
        <v>7.5</v>
      </c>
      <c r="G242" s="95" t="s">
        <v>510</v>
      </c>
      <c r="H242" s="83" t="s">
        <v>950</v>
      </c>
      <c r="I242" s="85">
        <f>Planejamento2024[[#This Row],[Qnt de Itens]]*Planejamento2024[[#This Row],[Valor unitário]]</f>
        <v>1500</v>
      </c>
      <c r="J242" s="83" t="s">
        <v>20</v>
      </c>
      <c r="K242" s="83" t="s">
        <v>415</v>
      </c>
      <c r="L242" s="86">
        <v>45292</v>
      </c>
      <c r="M242" s="83" t="s">
        <v>20</v>
      </c>
      <c r="N242" s="87"/>
      <c r="O242" s="83" t="s">
        <v>827</v>
      </c>
    </row>
    <row r="243" spans="1:15" ht="18">
      <c r="A243" s="81">
        <f t="shared" si="3"/>
        <v>242</v>
      </c>
      <c r="B243" s="82" t="s">
        <v>1093</v>
      </c>
      <c r="C243" s="83" t="s">
        <v>34</v>
      </c>
      <c r="D243" s="83" t="s">
        <v>35</v>
      </c>
      <c r="E243" s="84">
        <v>500</v>
      </c>
      <c r="F243" s="85">
        <v>184.93</v>
      </c>
      <c r="G243" s="83" t="s">
        <v>885</v>
      </c>
      <c r="H243" s="83" t="s">
        <v>950</v>
      </c>
      <c r="I243" s="85">
        <f>Planejamento2024[[#This Row],[Qnt de Itens]]*Planejamento2024[[#This Row],[Valor unitário]]</f>
        <v>92465</v>
      </c>
      <c r="J243" s="83" t="s">
        <v>20</v>
      </c>
      <c r="K243" s="83" t="s">
        <v>415</v>
      </c>
      <c r="L243" s="86">
        <v>45292</v>
      </c>
      <c r="M243" s="83" t="s">
        <v>20</v>
      </c>
      <c r="N243" s="87" t="s">
        <v>955</v>
      </c>
      <c r="O243" s="83" t="s">
        <v>827</v>
      </c>
    </row>
    <row r="244" spans="1:15" ht="27">
      <c r="A244" s="81">
        <f t="shared" si="3"/>
        <v>243</v>
      </c>
      <c r="B244" s="82" t="s">
        <v>1094</v>
      </c>
      <c r="C244" s="83" t="s">
        <v>34</v>
      </c>
      <c r="D244" s="83" t="s">
        <v>35</v>
      </c>
      <c r="E244" s="84">
        <v>20000</v>
      </c>
      <c r="F244" s="88">
        <v>31.72</v>
      </c>
      <c r="G244" s="83" t="s">
        <v>885</v>
      </c>
      <c r="H244" s="83" t="s">
        <v>950</v>
      </c>
      <c r="I244" s="85">
        <f>Planejamento2024[[#This Row],[Qnt de Itens]]*Planejamento2024[[#This Row],[Valor unitário]]</f>
        <v>634400</v>
      </c>
      <c r="J244" s="83" t="s">
        <v>20</v>
      </c>
      <c r="K244" s="83" t="s">
        <v>415</v>
      </c>
      <c r="L244" s="86">
        <v>45292</v>
      </c>
      <c r="M244" s="83" t="s">
        <v>38</v>
      </c>
      <c r="N244" s="87" t="s">
        <v>1095</v>
      </c>
      <c r="O244" s="83" t="s">
        <v>827</v>
      </c>
    </row>
    <row r="245" spans="1:15" ht="18">
      <c r="A245" s="81">
        <f t="shared" si="3"/>
        <v>244</v>
      </c>
      <c r="B245" s="82" t="s">
        <v>1096</v>
      </c>
      <c r="C245" s="83" t="s">
        <v>34</v>
      </c>
      <c r="D245" s="83" t="s">
        <v>35</v>
      </c>
      <c r="E245" s="84">
        <v>20000</v>
      </c>
      <c r="F245" s="88">
        <v>47.93</v>
      </c>
      <c r="G245" s="83" t="s">
        <v>885</v>
      </c>
      <c r="H245" s="83" t="s">
        <v>950</v>
      </c>
      <c r="I245" s="85">
        <f>Planejamento2024[[#This Row],[Qnt de Itens]]*Planejamento2024[[#This Row],[Valor unitário]]</f>
        <v>958600</v>
      </c>
      <c r="J245" s="83" t="s">
        <v>20</v>
      </c>
      <c r="K245" s="83" t="s">
        <v>415</v>
      </c>
      <c r="L245" s="86">
        <v>45292</v>
      </c>
      <c r="M245" s="83" t="s">
        <v>38</v>
      </c>
      <c r="N245" s="87" t="s">
        <v>1095</v>
      </c>
      <c r="O245" s="83" t="s">
        <v>827</v>
      </c>
    </row>
    <row r="246" spans="1:15" ht="18">
      <c r="A246" s="81">
        <f t="shared" si="3"/>
        <v>245</v>
      </c>
      <c r="B246" s="82" t="s">
        <v>1097</v>
      </c>
      <c r="C246" s="83" t="s">
        <v>34</v>
      </c>
      <c r="D246" s="83" t="s">
        <v>35</v>
      </c>
      <c r="E246" s="84">
        <v>10000</v>
      </c>
      <c r="F246" s="88">
        <v>68.430000000000007</v>
      </c>
      <c r="G246" s="83" t="s">
        <v>885</v>
      </c>
      <c r="H246" s="83" t="s">
        <v>950</v>
      </c>
      <c r="I246" s="85">
        <f>Planejamento2024[[#This Row],[Qnt de Itens]]*Planejamento2024[[#This Row],[Valor unitário]]</f>
        <v>684300.00000000012</v>
      </c>
      <c r="J246" s="83" t="s">
        <v>20</v>
      </c>
      <c r="K246" s="83" t="s">
        <v>415</v>
      </c>
      <c r="L246" s="86">
        <v>45292</v>
      </c>
      <c r="M246" s="83" t="s">
        <v>38</v>
      </c>
      <c r="N246" s="87" t="s">
        <v>1095</v>
      </c>
      <c r="O246" s="83" t="s">
        <v>827</v>
      </c>
    </row>
    <row r="247" spans="1:15" ht="27">
      <c r="A247" s="81">
        <f t="shared" si="3"/>
        <v>246</v>
      </c>
      <c r="B247" s="82" t="s">
        <v>1098</v>
      </c>
      <c r="C247" s="83" t="s">
        <v>34</v>
      </c>
      <c r="D247" s="83" t="s">
        <v>35</v>
      </c>
      <c r="E247" s="84">
        <v>10000</v>
      </c>
      <c r="F247" s="88">
        <v>34.229999999999997</v>
      </c>
      <c r="G247" s="83" t="s">
        <v>885</v>
      </c>
      <c r="H247" s="83" t="s">
        <v>950</v>
      </c>
      <c r="I247" s="85">
        <f>Planejamento2024[[#This Row],[Qnt de Itens]]*Planejamento2024[[#This Row],[Valor unitário]]</f>
        <v>342299.99999999994</v>
      </c>
      <c r="J247" s="83" t="s">
        <v>20</v>
      </c>
      <c r="K247" s="83" t="s">
        <v>415</v>
      </c>
      <c r="L247" s="86">
        <v>45292</v>
      </c>
      <c r="M247" s="83" t="s">
        <v>38</v>
      </c>
      <c r="N247" s="87" t="s">
        <v>1095</v>
      </c>
      <c r="O247" s="83" t="s">
        <v>827</v>
      </c>
    </row>
    <row r="248" spans="1:15" ht="18">
      <c r="A248" s="81">
        <f t="shared" si="3"/>
        <v>247</v>
      </c>
      <c r="B248" s="82" t="s">
        <v>1099</v>
      </c>
      <c r="C248" s="83" t="s">
        <v>34</v>
      </c>
      <c r="D248" s="83" t="s">
        <v>35</v>
      </c>
      <c r="E248" s="84">
        <v>10000</v>
      </c>
      <c r="F248" s="88">
        <v>86.82</v>
      </c>
      <c r="G248" s="83" t="s">
        <v>885</v>
      </c>
      <c r="H248" s="83" t="s">
        <v>950</v>
      </c>
      <c r="I248" s="85">
        <f>Planejamento2024[[#This Row],[Qnt de Itens]]*Planejamento2024[[#This Row],[Valor unitário]]</f>
        <v>868199.99999999988</v>
      </c>
      <c r="J248" s="83" t="s">
        <v>20</v>
      </c>
      <c r="K248" s="83" t="s">
        <v>415</v>
      </c>
      <c r="L248" s="86">
        <v>45292</v>
      </c>
      <c r="M248" s="83" t="s">
        <v>38</v>
      </c>
      <c r="N248" s="87" t="s">
        <v>1095</v>
      </c>
      <c r="O248" s="83" t="s">
        <v>827</v>
      </c>
    </row>
    <row r="249" spans="1:15" ht="18">
      <c r="A249" s="81">
        <f t="shared" si="3"/>
        <v>248</v>
      </c>
      <c r="B249" s="82" t="s">
        <v>1100</v>
      </c>
      <c r="C249" s="83" t="s">
        <v>34</v>
      </c>
      <c r="D249" s="83" t="s">
        <v>35</v>
      </c>
      <c r="E249" s="84">
        <v>30000</v>
      </c>
      <c r="F249" s="88">
        <v>20.97</v>
      </c>
      <c r="G249" s="83" t="s">
        <v>885</v>
      </c>
      <c r="H249" s="83" t="s">
        <v>950</v>
      </c>
      <c r="I249" s="85">
        <f>Planejamento2024[[#This Row],[Qnt de Itens]]*Planejamento2024[[#This Row],[Valor unitário]]</f>
        <v>629100</v>
      </c>
      <c r="J249" s="83" t="s">
        <v>20</v>
      </c>
      <c r="K249" s="83" t="s">
        <v>415</v>
      </c>
      <c r="L249" s="86">
        <v>45292</v>
      </c>
      <c r="M249" s="83" t="s">
        <v>38</v>
      </c>
      <c r="N249" s="87" t="s">
        <v>1095</v>
      </c>
      <c r="O249" s="83" t="s">
        <v>827</v>
      </c>
    </row>
    <row r="250" spans="1:15" ht="18">
      <c r="A250" s="81">
        <f t="shared" si="3"/>
        <v>249</v>
      </c>
      <c r="B250" s="82" t="s">
        <v>1101</v>
      </c>
      <c r="C250" s="83" t="s">
        <v>34</v>
      </c>
      <c r="D250" s="83" t="s">
        <v>35</v>
      </c>
      <c r="E250" s="84">
        <v>10000</v>
      </c>
      <c r="F250" s="88">
        <v>22.27</v>
      </c>
      <c r="G250" s="83" t="s">
        <v>885</v>
      </c>
      <c r="H250" s="83" t="s">
        <v>950</v>
      </c>
      <c r="I250" s="85">
        <f>Planejamento2024[[#This Row],[Qnt de Itens]]*Planejamento2024[[#This Row],[Valor unitário]]</f>
        <v>222700</v>
      </c>
      <c r="J250" s="83" t="s">
        <v>20</v>
      </c>
      <c r="K250" s="83" t="s">
        <v>415</v>
      </c>
      <c r="L250" s="86">
        <v>45292</v>
      </c>
      <c r="M250" s="83" t="s">
        <v>38</v>
      </c>
      <c r="N250" s="87" t="s">
        <v>1095</v>
      </c>
      <c r="O250" s="83" t="s">
        <v>827</v>
      </c>
    </row>
    <row r="251" spans="1:15" ht="18">
      <c r="A251" s="81">
        <f t="shared" si="3"/>
        <v>250</v>
      </c>
      <c r="B251" s="82" t="s">
        <v>1102</v>
      </c>
      <c r="C251" s="83" t="s">
        <v>34</v>
      </c>
      <c r="D251" s="83" t="s">
        <v>35</v>
      </c>
      <c r="E251" s="84">
        <v>2404</v>
      </c>
      <c r="F251" s="88">
        <v>108.28</v>
      </c>
      <c r="G251" s="83" t="s">
        <v>885</v>
      </c>
      <c r="H251" s="83" t="s">
        <v>950</v>
      </c>
      <c r="I251" s="85">
        <f>Planejamento2024[[#This Row],[Qnt de Itens]]*Planejamento2024[[#This Row],[Valor unitário]]</f>
        <v>260305.12</v>
      </c>
      <c r="J251" s="83" t="s">
        <v>20</v>
      </c>
      <c r="K251" s="83" t="s">
        <v>415</v>
      </c>
      <c r="L251" s="86">
        <v>45292</v>
      </c>
      <c r="M251" s="83" t="s">
        <v>38</v>
      </c>
      <c r="N251" s="87" t="s">
        <v>1095</v>
      </c>
      <c r="O251" s="83" t="s">
        <v>827</v>
      </c>
    </row>
    <row r="252" spans="1:15" ht="18">
      <c r="A252" s="81">
        <f t="shared" si="3"/>
        <v>251</v>
      </c>
      <c r="B252" s="82" t="s">
        <v>1103</v>
      </c>
      <c r="C252" s="83" t="s">
        <v>34</v>
      </c>
      <c r="D252" s="83" t="s">
        <v>35</v>
      </c>
      <c r="E252" s="84">
        <v>7596</v>
      </c>
      <c r="F252" s="88">
        <v>108.28</v>
      </c>
      <c r="G252" s="83" t="s">
        <v>885</v>
      </c>
      <c r="H252" s="83" t="s">
        <v>950</v>
      </c>
      <c r="I252" s="85">
        <f>Planejamento2024[[#This Row],[Qnt de Itens]]*Planejamento2024[[#This Row],[Valor unitário]]</f>
        <v>822494.88</v>
      </c>
      <c r="J252" s="83" t="s">
        <v>20</v>
      </c>
      <c r="K252" s="83" t="s">
        <v>415</v>
      </c>
      <c r="L252" s="86">
        <v>45292</v>
      </c>
      <c r="M252" s="83" t="s">
        <v>38</v>
      </c>
      <c r="N252" s="87" t="s">
        <v>1095</v>
      </c>
      <c r="O252" s="83" t="s">
        <v>827</v>
      </c>
    </row>
    <row r="253" spans="1:15" ht="27">
      <c r="A253" s="81">
        <f t="shared" si="3"/>
        <v>252</v>
      </c>
      <c r="B253" s="82" t="s">
        <v>1104</v>
      </c>
      <c r="C253" s="83" t="s">
        <v>34</v>
      </c>
      <c r="D253" s="83" t="s">
        <v>35</v>
      </c>
      <c r="E253" s="84">
        <v>100</v>
      </c>
      <c r="F253" s="85">
        <v>5.53</v>
      </c>
      <c r="G253" s="83" t="s">
        <v>885</v>
      </c>
      <c r="H253" s="83" t="s">
        <v>1105</v>
      </c>
      <c r="I253" s="85">
        <f>Planejamento2024[[#This Row],[Qnt de Itens]]*Planejamento2024[[#This Row],[Valor unitário]]</f>
        <v>553</v>
      </c>
      <c r="J253" s="83" t="s">
        <v>20</v>
      </c>
      <c r="K253" s="83" t="s">
        <v>492</v>
      </c>
      <c r="L253" s="86">
        <v>45292</v>
      </c>
      <c r="M253" s="83" t="s">
        <v>20</v>
      </c>
      <c r="N253" s="87" t="s">
        <v>955</v>
      </c>
      <c r="O253" s="83" t="s">
        <v>827</v>
      </c>
    </row>
    <row r="254" spans="1:15" ht="27">
      <c r="A254" s="81">
        <f t="shared" si="3"/>
        <v>253</v>
      </c>
      <c r="B254" s="82" t="s">
        <v>1106</v>
      </c>
      <c r="C254" s="83" t="s">
        <v>34</v>
      </c>
      <c r="D254" s="83" t="s">
        <v>35</v>
      </c>
      <c r="E254" s="84">
        <v>100</v>
      </c>
      <c r="F254" s="85">
        <v>5.53</v>
      </c>
      <c r="G254" s="83" t="s">
        <v>885</v>
      </c>
      <c r="H254" s="83" t="s">
        <v>1105</v>
      </c>
      <c r="I254" s="85">
        <f>Planejamento2024[[#This Row],[Qnt de Itens]]*Planejamento2024[[#This Row],[Valor unitário]]</f>
        <v>553</v>
      </c>
      <c r="J254" s="83" t="s">
        <v>20</v>
      </c>
      <c r="K254" s="83" t="s">
        <v>492</v>
      </c>
      <c r="L254" s="86">
        <v>45292</v>
      </c>
      <c r="M254" s="83" t="s">
        <v>20</v>
      </c>
      <c r="N254" s="87" t="s">
        <v>955</v>
      </c>
      <c r="O254" s="83" t="s">
        <v>827</v>
      </c>
    </row>
    <row r="255" spans="1:15" ht="27">
      <c r="A255" s="81">
        <f t="shared" si="3"/>
        <v>254</v>
      </c>
      <c r="B255" s="82" t="s">
        <v>1107</v>
      </c>
      <c r="C255" s="83" t="s">
        <v>34</v>
      </c>
      <c r="D255" s="83" t="s">
        <v>35</v>
      </c>
      <c r="E255" s="84">
        <v>100</v>
      </c>
      <c r="F255" s="85">
        <v>5.53</v>
      </c>
      <c r="G255" s="83" t="s">
        <v>885</v>
      </c>
      <c r="H255" s="83" t="s">
        <v>1105</v>
      </c>
      <c r="I255" s="85">
        <f>Planejamento2024[[#This Row],[Qnt de Itens]]*Planejamento2024[[#This Row],[Valor unitário]]</f>
        <v>553</v>
      </c>
      <c r="J255" s="83" t="s">
        <v>20</v>
      </c>
      <c r="K255" s="83" t="s">
        <v>492</v>
      </c>
      <c r="L255" s="86">
        <v>45292</v>
      </c>
      <c r="M255" s="83" t="s">
        <v>20</v>
      </c>
      <c r="N255" s="87" t="s">
        <v>955</v>
      </c>
      <c r="O255" s="83" t="s">
        <v>827</v>
      </c>
    </row>
    <row r="256" spans="1:15" ht="27">
      <c r="A256" s="81">
        <f t="shared" si="3"/>
        <v>255</v>
      </c>
      <c r="B256" s="82" t="s">
        <v>1108</v>
      </c>
      <c r="C256" s="83" t="s">
        <v>34</v>
      </c>
      <c r="D256" s="83" t="s">
        <v>35</v>
      </c>
      <c r="E256" s="84">
        <v>100</v>
      </c>
      <c r="F256" s="85">
        <v>6.36</v>
      </c>
      <c r="G256" s="83" t="s">
        <v>885</v>
      </c>
      <c r="H256" s="83" t="s">
        <v>1105</v>
      </c>
      <c r="I256" s="85">
        <f>Planejamento2024[[#This Row],[Qnt de Itens]]*Planejamento2024[[#This Row],[Valor unitário]]</f>
        <v>636</v>
      </c>
      <c r="J256" s="83" t="s">
        <v>20</v>
      </c>
      <c r="K256" s="83" t="s">
        <v>492</v>
      </c>
      <c r="L256" s="86">
        <v>45292</v>
      </c>
      <c r="M256" s="83" t="s">
        <v>20</v>
      </c>
      <c r="N256" s="87" t="s">
        <v>955</v>
      </c>
      <c r="O256" s="83" t="s">
        <v>827</v>
      </c>
    </row>
    <row r="257" spans="1:15" ht="27">
      <c r="A257" s="81">
        <f t="shared" si="3"/>
        <v>256</v>
      </c>
      <c r="B257" s="82" t="s">
        <v>1109</v>
      </c>
      <c r="C257" s="83" t="s">
        <v>34</v>
      </c>
      <c r="D257" s="83" t="s">
        <v>35</v>
      </c>
      <c r="E257" s="84">
        <v>100</v>
      </c>
      <c r="F257" s="85">
        <v>6.36</v>
      </c>
      <c r="G257" s="83" t="s">
        <v>885</v>
      </c>
      <c r="H257" s="83" t="s">
        <v>1105</v>
      </c>
      <c r="I257" s="85">
        <f>Planejamento2024[[#This Row],[Qnt de Itens]]*Planejamento2024[[#This Row],[Valor unitário]]</f>
        <v>636</v>
      </c>
      <c r="J257" s="83" t="s">
        <v>20</v>
      </c>
      <c r="K257" s="83" t="s">
        <v>492</v>
      </c>
      <c r="L257" s="86">
        <v>45292</v>
      </c>
      <c r="M257" s="83" t="s">
        <v>20</v>
      </c>
      <c r="N257" s="87" t="s">
        <v>955</v>
      </c>
      <c r="O257" s="83" t="s">
        <v>827</v>
      </c>
    </row>
    <row r="258" spans="1:15" ht="27">
      <c r="A258" s="81">
        <f t="shared" ref="A258:A321" si="4">ROW(A257)</f>
        <v>257</v>
      </c>
      <c r="B258" s="82" t="s">
        <v>1110</v>
      </c>
      <c r="C258" s="83" t="s">
        <v>34</v>
      </c>
      <c r="D258" s="83" t="s">
        <v>35</v>
      </c>
      <c r="E258" s="84">
        <v>100</v>
      </c>
      <c r="F258" s="85">
        <v>6.36</v>
      </c>
      <c r="G258" s="83" t="s">
        <v>885</v>
      </c>
      <c r="H258" s="83" t="s">
        <v>1105</v>
      </c>
      <c r="I258" s="85">
        <f>Planejamento2024[[#This Row],[Qnt de Itens]]*Planejamento2024[[#This Row],[Valor unitário]]</f>
        <v>636</v>
      </c>
      <c r="J258" s="83" t="s">
        <v>20</v>
      </c>
      <c r="K258" s="83" t="s">
        <v>492</v>
      </c>
      <c r="L258" s="86">
        <v>45292</v>
      </c>
      <c r="M258" s="83" t="s">
        <v>20</v>
      </c>
      <c r="N258" s="87" t="s">
        <v>955</v>
      </c>
      <c r="O258" s="83" t="s">
        <v>827</v>
      </c>
    </row>
    <row r="259" spans="1:15" ht="36">
      <c r="A259" s="81">
        <f t="shared" si="4"/>
        <v>258</v>
      </c>
      <c r="B259" s="82" t="s">
        <v>1111</v>
      </c>
      <c r="C259" s="83" t="s">
        <v>34</v>
      </c>
      <c r="D259" s="83" t="s">
        <v>35</v>
      </c>
      <c r="E259" s="84">
        <v>500</v>
      </c>
      <c r="F259" s="85">
        <v>6.91</v>
      </c>
      <c r="G259" s="83" t="s">
        <v>885</v>
      </c>
      <c r="H259" s="83" t="s">
        <v>1105</v>
      </c>
      <c r="I259" s="85">
        <f>Planejamento2024[[#This Row],[Qnt de Itens]]*Planejamento2024[[#This Row],[Valor unitário]]</f>
        <v>3455</v>
      </c>
      <c r="J259" s="83" t="s">
        <v>20</v>
      </c>
      <c r="K259" s="83" t="s">
        <v>415</v>
      </c>
      <c r="L259" s="86">
        <v>45292</v>
      </c>
      <c r="M259" s="83" t="s">
        <v>20</v>
      </c>
      <c r="N259" s="87" t="s">
        <v>955</v>
      </c>
      <c r="O259" s="83" t="s">
        <v>827</v>
      </c>
    </row>
    <row r="260" spans="1:15" ht="36">
      <c r="A260" s="81">
        <f t="shared" si="4"/>
        <v>259</v>
      </c>
      <c r="B260" s="82" t="s">
        <v>1112</v>
      </c>
      <c r="C260" s="83" t="s">
        <v>34</v>
      </c>
      <c r="D260" s="83" t="s">
        <v>35</v>
      </c>
      <c r="E260" s="84">
        <v>400</v>
      </c>
      <c r="F260" s="85">
        <v>49.78</v>
      </c>
      <c r="G260" s="83" t="s">
        <v>890</v>
      </c>
      <c r="H260" s="83" t="s">
        <v>1105</v>
      </c>
      <c r="I260" s="85">
        <f>Planejamento2024[[#This Row],[Qnt de Itens]]*Planejamento2024[[#This Row],[Valor unitário]]</f>
        <v>19912</v>
      </c>
      <c r="J260" s="83" t="s">
        <v>20</v>
      </c>
      <c r="K260" s="83" t="s">
        <v>478</v>
      </c>
      <c r="L260" s="86">
        <v>45292</v>
      </c>
      <c r="M260" s="83" t="s">
        <v>20</v>
      </c>
      <c r="N260" s="87" t="s">
        <v>955</v>
      </c>
      <c r="O260" s="83" t="s">
        <v>827</v>
      </c>
    </row>
    <row r="261" spans="1:15" ht="36">
      <c r="A261" s="81">
        <f t="shared" si="4"/>
        <v>260</v>
      </c>
      <c r="B261" s="82" t="s">
        <v>1113</v>
      </c>
      <c r="C261" s="83" t="s">
        <v>34</v>
      </c>
      <c r="D261" s="83" t="s">
        <v>35</v>
      </c>
      <c r="E261" s="84">
        <v>150</v>
      </c>
      <c r="F261" s="85">
        <v>69.150000000000006</v>
      </c>
      <c r="G261" s="83" t="s">
        <v>1114</v>
      </c>
      <c r="H261" s="83" t="s">
        <v>1105</v>
      </c>
      <c r="I261" s="85">
        <f>Planejamento2024[[#This Row],[Qnt de Itens]]*Planejamento2024[[#This Row],[Valor unitário]]</f>
        <v>10372.5</v>
      </c>
      <c r="J261" s="83" t="s">
        <v>20</v>
      </c>
      <c r="K261" s="83" t="s">
        <v>415</v>
      </c>
      <c r="L261" s="86">
        <v>45292</v>
      </c>
      <c r="M261" s="83" t="s">
        <v>20</v>
      </c>
      <c r="N261" s="87" t="s">
        <v>955</v>
      </c>
      <c r="O261" s="83" t="s">
        <v>827</v>
      </c>
    </row>
    <row r="262" spans="1:15" ht="36">
      <c r="A262" s="81">
        <f t="shared" si="4"/>
        <v>261</v>
      </c>
      <c r="B262" s="82" t="s">
        <v>1115</v>
      </c>
      <c r="C262" s="83" t="s">
        <v>34</v>
      </c>
      <c r="D262" s="83" t="s">
        <v>35</v>
      </c>
      <c r="E262" s="84">
        <v>500</v>
      </c>
      <c r="F262" s="85">
        <v>6.91</v>
      </c>
      <c r="G262" s="83" t="s">
        <v>885</v>
      </c>
      <c r="H262" s="83" t="s">
        <v>1105</v>
      </c>
      <c r="I262" s="85">
        <f>Planejamento2024[[#This Row],[Qnt de Itens]]*Planejamento2024[[#This Row],[Valor unitário]]</f>
        <v>3455</v>
      </c>
      <c r="J262" s="83" t="s">
        <v>20</v>
      </c>
      <c r="K262" s="83" t="s">
        <v>478</v>
      </c>
      <c r="L262" s="86">
        <v>45292</v>
      </c>
      <c r="M262" s="83" t="s">
        <v>20</v>
      </c>
      <c r="N262" s="87" t="s">
        <v>955</v>
      </c>
      <c r="O262" s="83" t="s">
        <v>827</v>
      </c>
    </row>
    <row r="263" spans="1:15" ht="36">
      <c r="A263" s="81">
        <f t="shared" si="4"/>
        <v>262</v>
      </c>
      <c r="B263" s="82" t="s">
        <v>1116</v>
      </c>
      <c r="C263" s="83" t="s">
        <v>34</v>
      </c>
      <c r="D263" s="83" t="s">
        <v>35</v>
      </c>
      <c r="E263" s="84">
        <v>500</v>
      </c>
      <c r="F263" s="85">
        <v>12.44</v>
      </c>
      <c r="G263" s="83" t="s">
        <v>890</v>
      </c>
      <c r="H263" s="83" t="s">
        <v>1105</v>
      </c>
      <c r="I263" s="85">
        <f>Planejamento2024[[#This Row],[Qnt de Itens]]*Planejamento2024[[#This Row],[Valor unitário]]</f>
        <v>6220</v>
      </c>
      <c r="J263" s="83" t="s">
        <v>20</v>
      </c>
      <c r="K263" s="83" t="s">
        <v>478</v>
      </c>
      <c r="L263" s="86">
        <v>45292</v>
      </c>
      <c r="M263" s="83" t="s">
        <v>20</v>
      </c>
      <c r="N263" s="87" t="s">
        <v>955</v>
      </c>
      <c r="O263" s="83" t="s">
        <v>827</v>
      </c>
    </row>
    <row r="264" spans="1:15" ht="63">
      <c r="A264" s="81">
        <f t="shared" si="4"/>
        <v>263</v>
      </c>
      <c r="B264" s="82" t="s">
        <v>1117</v>
      </c>
      <c r="C264" s="83" t="s">
        <v>34</v>
      </c>
      <c r="D264" s="83" t="s">
        <v>35</v>
      </c>
      <c r="E264" s="84">
        <v>500</v>
      </c>
      <c r="F264" s="85">
        <v>207.43</v>
      </c>
      <c r="G264" s="83" t="s">
        <v>885</v>
      </c>
      <c r="H264" s="83" t="s">
        <v>1105</v>
      </c>
      <c r="I264" s="85">
        <f>Planejamento2024[[#This Row],[Qnt de Itens]]*Planejamento2024[[#This Row],[Valor unitário]]</f>
        <v>103715</v>
      </c>
      <c r="J264" s="83" t="s">
        <v>20</v>
      </c>
      <c r="K264" s="83" t="s">
        <v>492</v>
      </c>
      <c r="L264" s="86">
        <v>45292</v>
      </c>
      <c r="M264" s="83" t="s">
        <v>20</v>
      </c>
      <c r="N264" s="87" t="s">
        <v>955</v>
      </c>
      <c r="O264" s="83" t="s">
        <v>827</v>
      </c>
    </row>
    <row r="265" spans="1:15" ht="27">
      <c r="A265" s="81">
        <f t="shared" si="4"/>
        <v>264</v>
      </c>
      <c r="B265" s="82" t="s">
        <v>1118</v>
      </c>
      <c r="C265" s="83" t="s">
        <v>34</v>
      </c>
      <c r="D265" s="83" t="s">
        <v>35</v>
      </c>
      <c r="E265" s="84">
        <v>1000</v>
      </c>
      <c r="F265" s="85">
        <v>10.51</v>
      </c>
      <c r="G265" s="83" t="s">
        <v>885</v>
      </c>
      <c r="H265" s="83" t="s">
        <v>1105</v>
      </c>
      <c r="I265" s="85">
        <f>Planejamento2024[[#This Row],[Qnt de Itens]]*Planejamento2024[[#This Row],[Valor unitário]]</f>
        <v>10510</v>
      </c>
      <c r="J265" s="83" t="s">
        <v>20</v>
      </c>
      <c r="K265" s="83" t="s">
        <v>415</v>
      </c>
      <c r="L265" s="86">
        <v>45292</v>
      </c>
      <c r="M265" s="83" t="s">
        <v>20</v>
      </c>
      <c r="N265" s="87" t="s">
        <v>955</v>
      </c>
      <c r="O265" s="83" t="s">
        <v>827</v>
      </c>
    </row>
    <row r="266" spans="1:15" ht="27">
      <c r="A266" s="81">
        <f t="shared" si="4"/>
        <v>265</v>
      </c>
      <c r="B266" s="82" t="s">
        <v>1119</v>
      </c>
      <c r="C266" s="83" t="s">
        <v>34</v>
      </c>
      <c r="D266" s="83" t="s">
        <v>35</v>
      </c>
      <c r="E266" s="84">
        <v>100</v>
      </c>
      <c r="F266" s="85">
        <v>41.49</v>
      </c>
      <c r="G266" s="83" t="s">
        <v>885</v>
      </c>
      <c r="H266" s="83" t="s">
        <v>1105</v>
      </c>
      <c r="I266" s="85">
        <f>Planejamento2024[[#This Row],[Qnt de Itens]]*Planejamento2024[[#This Row],[Valor unitário]]</f>
        <v>4149</v>
      </c>
      <c r="J266" s="83" t="s">
        <v>20</v>
      </c>
      <c r="K266" s="83" t="s">
        <v>492</v>
      </c>
      <c r="L266" s="86">
        <v>45292</v>
      </c>
      <c r="M266" s="83" t="s">
        <v>20</v>
      </c>
      <c r="N266" s="87" t="s">
        <v>955</v>
      </c>
      <c r="O266" s="83" t="s">
        <v>827</v>
      </c>
    </row>
    <row r="267" spans="1:15" ht="27">
      <c r="A267" s="81">
        <f t="shared" si="4"/>
        <v>266</v>
      </c>
      <c r="B267" s="82" t="s">
        <v>1120</v>
      </c>
      <c r="C267" s="83" t="s">
        <v>34</v>
      </c>
      <c r="D267" s="83" t="s">
        <v>35</v>
      </c>
      <c r="E267" s="84">
        <v>32000</v>
      </c>
      <c r="F267" s="85">
        <v>1.28</v>
      </c>
      <c r="G267" s="83" t="s">
        <v>885</v>
      </c>
      <c r="H267" s="83" t="s">
        <v>1105</v>
      </c>
      <c r="I267" s="85">
        <f>Planejamento2024[[#This Row],[Qnt de Itens]]*Planejamento2024[[#This Row],[Valor unitário]]</f>
        <v>40960</v>
      </c>
      <c r="J267" s="83" t="s">
        <v>20</v>
      </c>
      <c r="K267" s="83" t="s">
        <v>415</v>
      </c>
      <c r="L267" s="86">
        <v>45292</v>
      </c>
      <c r="M267" s="83" t="s">
        <v>20</v>
      </c>
      <c r="N267" s="87" t="s">
        <v>955</v>
      </c>
      <c r="O267" s="83" t="s">
        <v>827</v>
      </c>
    </row>
    <row r="268" spans="1:15" ht="27">
      <c r="A268" s="81">
        <f t="shared" si="4"/>
        <v>267</v>
      </c>
      <c r="B268" s="82" t="s">
        <v>1121</v>
      </c>
      <c r="C268" s="83" t="s">
        <v>34</v>
      </c>
      <c r="D268" s="83" t="s">
        <v>35</v>
      </c>
      <c r="E268" s="84">
        <v>32000</v>
      </c>
      <c r="F268" s="85">
        <v>1.28</v>
      </c>
      <c r="G268" s="83" t="s">
        <v>885</v>
      </c>
      <c r="H268" s="83" t="s">
        <v>1105</v>
      </c>
      <c r="I268" s="85">
        <f>Planejamento2024[[#This Row],[Qnt de Itens]]*Planejamento2024[[#This Row],[Valor unitário]]</f>
        <v>40960</v>
      </c>
      <c r="J268" s="83" t="s">
        <v>20</v>
      </c>
      <c r="K268" s="83" t="s">
        <v>415</v>
      </c>
      <c r="L268" s="86">
        <v>45292</v>
      </c>
      <c r="M268" s="83" t="s">
        <v>20</v>
      </c>
      <c r="N268" s="87" t="s">
        <v>955</v>
      </c>
      <c r="O268" s="83" t="s">
        <v>827</v>
      </c>
    </row>
    <row r="269" spans="1:15" ht="36">
      <c r="A269" s="81">
        <f t="shared" si="4"/>
        <v>268</v>
      </c>
      <c r="B269" s="82" t="s">
        <v>1122</v>
      </c>
      <c r="C269" s="83" t="s">
        <v>34</v>
      </c>
      <c r="D269" s="83" t="s">
        <v>35</v>
      </c>
      <c r="E269" s="84">
        <v>32000</v>
      </c>
      <c r="F269" s="85">
        <v>1.28</v>
      </c>
      <c r="G269" s="83" t="s">
        <v>885</v>
      </c>
      <c r="H269" s="83" t="s">
        <v>1105</v>
      </c>
      <c r="I269" s="85">
        <f>Planejamento2024[[#This Row],[Qnt de Itens]]*Planejamento2024[[#This Row],[Valor unitário]]</f>
        <v>40960</v>
      </c>
      <c r="J269" s="83" t="s">
        <v>20</v>
      </c>
      <c r="K269" s="83" t="s">
        <v>415</v>
      </c>
      <c r="L269" s="86">
        <v>45292</v>
      </c>
      <c r="M269" s="83" t="s">
        <v>20</v>
      </c>
      <c r="N269" s="87" t="s">
        <v>955</v>
      </c>
      <c r="O269" s="83" t="s">
        <v>827</v>
      </c>
    </row>
    <row r="270" spans="1:15" ht="27">
      <c r="A270" s="81">
        <f t="shared" si="4"/>
        <v>269</v>
      </c>
      <c r="B270" s="82" t="s">
        <v>1123</v>
      </c>
      <c r="C270" s="83" t="s">
        <v>34</v>
      </c>
      <c r="D270" s="83" t="s">
        <v>35</v>
      </c>
      <c r="E270" s="84">
        <v>500</v>
      </c>
      <c r="F270" s="85">
        <v>2.5299999999999998</v>
      </c>
      <c r="G270" s="83" t="s">
        <v>885</v>
      </c>
      <c r="H270" s="83" t="s">
        <v>1105</v>
      </c>
      <c r="I270" s="85">
        <f>Planejamento2024[[#This Row],[Qnt de Itens]]*Planejamento2024[[#This Row],[Valor unitário]]</f>
        <v>1265</v>
      </c>
      <c r="J270" s="83" t="s">
        <v>20</v>
      </c>
      <c r="K270" s="83" t="s">
        <v>415</v>
      </c>
      <c r="L270" s="86">
        <v>45292</v>
      </c>
      <c r="M270" s="83" t="s">
        <v>20</v>
      </c>
      <c r="N270" s="87" t="s">
        <v>955</v>
      </c>
      <c r="O270" s="83" t="s">
        <v>827</v>
      </c>
    </row>
    <row r="271" spans="1:15" ht="18">
      <c r="A271" s="81">
        <f t="shared" si="4"/>
        <v>270</v>
      </c>
      <c r="B271" s="82" t="s">
        <v>1124</v>
      </c>
      <c r="C271" s="83" t="s">
        <v>34</v>
      </c>
      <c r="D271" s="83" t="s">
        <v>35</v>
      </c>
      <c r="E271" s="84">
        <v>500</v>
      </c>
      <c r="F271" s="85">
        <v>2.5299999999999998</v>
      </c>
      <c r="G271" s="83" t="s">
        <v>885</v>
      </c>
      <c r="H271" s="83" t="s">
        <v>1105</v>
      </c>
      <c r="I271" s="85">
        <f>Planejamento2024[[#This Row],[Qnt de Itens]]*Planejamento2024[[#This Row],[Valor unitário]]</f>
        <v>1265</v>
      </c>
      <c r="J271" s="83" t="s">
        <v>20</v>
      </c>
      <c r="K271" s="83" t="s">
        <v>415</v>
      </c>
      <c r="L271" s="86">
        <v>45292</v>
      </c>
      <c r="M271" s="83" t="s">
        <v>20</v>
      </c>
      <c r="N271" s="87" t="s">
        <v>955</v>
      </c>
      <c r="O271" s="83" t="s">
        <v>827</v>
      </c>
    </row>
    <row r="272" spans="1:15" ht="18">
      <c r="A272" s="81">
        <f t="shared" si="4"/>
        <v>271</v>
      </c>
      <c r="B272" s="82" t="s">
        <v>1125</v>
      </c>
      <c r="C272" s="83" t="s">
        <v>34</v>
      </c>
      <c r="D272" s="83" t="s">
        <v>35</v>
      </c>
      <c r="E272" s="84">
        <v>500</v>
      </c>
      <c r="F272" s="85">
        <v>2.5299999999999998</v>
      </c>
      <c r="G272" s="83" t="s">
        <v>885</v>
      </c>
      <c r="H272" s="83" t="s">
        <v>1105</v>
      </c>
      <c r="I272" s="85">
        <f>Planejamento2024[[#This Row],[Qnt de Itens]]*Planejamento2024[[#This Row],[Valor unitário]]</f>
        <v>1265</v>
      </c>
      <c r="J272" s="83" t="s">
        <v>20</v>
      </c>
      <c r="K272" s="83" t="s">
        <v>415</v>
      </c>
      <c r="L272" s="86">
        <v>45292</v>
      </c>
      <c r="M272" s="83" t="s">
        <v>20</v>
      </c>
      <c r="N272" s="87" t="s">
        <v>955</v>
      </c>
      <c r="O272" s="83" t="s">
        <v>827</v>
      </c>
    </row>
    <row r="273" spans="1:15" ht="18">
      <c r="A273" s="81">
        <f t="shared" si="4"/>
        <v>272</v>
      </c>
      <c r="B273" s="82" t="s">
        <v>1126</v>
      </c>
      <c r="C273" s="83" t="s">
        <v>34</v>
      </c>
      <c r="D273" s="83" t="s">
        <v>35</v>
      </c>
      <c r="E273" s="84">
        <v>500</v>
      </c>
      <c r="F273" s="85">
        <v>2.5299999999999998</v>
      </c>
      <c r="G273" s="83" t="s">
        <v>885</v>
      </c>
      <c r="H273" s="83" t="s">
        <v>1105</v>
      </c>
      <c r="I273" s="85">
        <f>Planejamento2024[[#This Row],[Qnt de Itens]]*Planejamento2024[[#This Row],[Valor unitário]]</f>
        <v>1265</v>
      </c>
      <c r="J273" s="83" t="s">
        <v>20</v>
      </c>
      <c r="K273" s="83" t="s">
        <v>415</v>
      </c>
      <c r="L273" s="86">
        <v>45292</v>
      </c>
      <c r="M273" s="83" t="s">
        <v>20</v>
      </c>
      <c r="N273" s="87" t="s">
        <v>955</v>
      </c>
      <c r="O273" s="83" t="s">
        <v>827</v>
      </c>
    </row>
    <row r="274" spans="1:15" ht="18">
      <c r="A274" s="81">
        <f t="shared" si="4"/>
        <v>273</v>
      </c>
      <c r="B274" s="82" t="s">
        <v>1127</v>
      </c>
      <c r="C274" s="83" t="s">
        <v>34</v>
      </c>
      <c r="D274" s="83" t="s">
        <v>35</v>
      </c>
      <c r="E274" s="84">
        <v>500</v>
      </c>
      <c r="F274" s="85">
        <v>2.5299999999999998</v>
      </c>
      <c r="G274" s="83" t="s">
        <v>885</v>
      </c>
      <c r="H274" s="83" t="s">
        <v>1105</v>
      </c>
      <c r="I274" s="85">
        <f>Planejamento2024[[#This Row],[Qnt de Itens]]*Planejamento2024[[#This Row],[Valor unitário]]</f>
        <v>1265</v>
      </c>
      <c r="J274" s="83" t="s">
        <v>20</v>
      </c>
      <c r="K274" s="83" t="s">
        <v>415</v>
      </c>
      <c r="L274" s="86">
        <v>45292</v>
      </c>
      <c r="M274" s="83" t="s">
        <v>20</v>
      </c>
      <c r="N274" s="87" t="s">
        <v>955</v>
      </c>
      <c r="O274" s="83" t="s">
        <v>827</v>
      </c>
    </row>
    <row r="275" spans="1:15" ht="18">
      <c r="A275" s="81">
        <f t="shared" si="4"/>
        <v>274</v>
      </c>
      <c r="B275" s="82" t="s">
        <v>1128</v>
      </c>
      <c r="C275" s="83" t="s">
        <v>34</v>
      </c>
      <c r="D275" s="83" t="s">
        <v>35</v>
      </c>
      <c r="E275" s="84">
        <v>100</v>
      </c>
      <c r="F275" s="85">
        <v>4.3499999999999996</v>
      </c>
      <c r="G275" s="83" t="s">
        <v>885</v>
      </c>
      <c r="H275" s="83" t="s">
        <v>1105</v>
      </c>
      <c r="I275" s="85">
        <f>Planejamento2024[[#This Row],[Qnt de Itens]]*Planejamento2024[[#This Row],[Valor unitário]]</f>
        <v>434.99999999999994</v>
      </c>
      <c r="J275" s="83" t="s">
        <v>20</v>
      </c>
      <c r="K275" s="83" t="s">
        <v>478</v>
      </c>
      <c r="L275" s="86">
        <v>45292</v>
      </c>
      <c r="M275" s="83" t="s">
        <v>20</v>
      </c>
      <c r="N275" s="87" t="s">
        <v>955</v>
      </c>
      <c r="O275" s="83" t="s">
        <v>827</v>
      </c>
    </row>
    <row r="276" spans="1:15" ht="18">
      <c r="A276" s="81">
        <f t="shared" si="4"/>
        <v>275</v>
      </c>
      <c r="B276" s="82" t="s">
        <v>1129</v>
      </c>
      <c r="C276" s="83" t="s">
        <v>34</v>
      </c>
      <c r="D276" s="83" t="s">
        <v>35</v>
      </c>
      <c r="E276" s="84">
        <v>500</v>
      </c>
      <c r="F276" s="85">
        <v>4.1500000000000004</v>
      </c>
      <c r="G276" s="83" t="s">
        <v>510</v>
      </c>
      <c r="H276" s="83" t="s">
        <v>1105</v>
      </c>
      <c r="I276" s="85">
        <f>Planejamento2024[[#This Row],[Qnt de Itens]]*Planejamento2024[[#This Row],[Valor unitário]]</f>
        <v>2075</v>
      </c>
      <c r="J276" s="83" t="s">
        <v>20</v>
      </c>
      <c r="K276" s="83" t="s">
        <v>478</v>
      </c>
      <c r="L276" s="86">
        <v>45292</v>
      </c>
      <c r="M276" s="83" t="s">
        <v>20</v>
      </c>
      <c r="N276" s="87" t="s">
        <v>955</v>
      </c>
      <c r="O276" s="83" t="s">
        <v>827</v>
      </c>
    </row>
    <row r="277" spans="1:15" ht="18">
      <c r="A277" s="81">
        <f t="shared" si="4"/>
        <v>276</v>
      </c>
      <c r="B277" s="82" t="s">
        <v>1130</v>
      </c>
      <c r="C277" s="83" t="s">
        <v>34</v>
      </c>
      <c r="D277" s="83" t="s">
        <v>35</v>
      </c>
      <c r="E277" s="84">
        <v>500</v>
      </c>
      <c r="F277" s="85">
        <v>17.98</v>
      </c>
      <c r="G277" s="83" t="s">
        <v>510</v>
      </c>
      <c r="H277" s="83" t="s">
        <v>1105</v>
      </c>
      <c r="I277" s="85">
        <f>Planejamento2024[[#This Row],[Qnt de Itens]]*Planejamento2024[[#This Row],[Valor unitário]]</f>
        <v>8990</v>
      </c>
      <c r="J277" s="83" t="s">
        <v>20</v>
      </c>
      <c r="K277" s="83" t="s">
        <v>415</v>
      </c>
      <c r="L277" s="86">
        <v>45292</v>
      </c>
      <c r="M277" s="83" t="s">
        <v>20</v>
      </c>
      <c r="N277" s="87" t="s">
        <v>955</v>
      </c>
      <c r="O277" s="83" t="s">
        <v>827</v>
      </c>
    </row>
    <row r="278" spans="1:15" ht="18">
      <c r="A278" s="81">
        <f t="shared" si="4"/>
        <v>277</v>
      </c>
      <c r="B278" s="82" t="s">
        <v>1131</v>
      </c>
      <c r="C278" s="83" t="s">
        <v>34</v>
      </c>
      <c r="D278" s="83" t="s">
        <v>35</v>
      </c>
      <c r="E278" s="84">
        <v>500</v>
      </c>
      <c r="F278" s="85">
        <v>7.74</v>
      </c>
      <c r="G278" s="83" t="s">
        <v>510</v>
      </c>
      <c r="H278" s="83" t="s">
        <v>1105</v>
      </c>
      <c r="I278" s="85">
        <f>Planejamento2024[[#This Row],[Qnt de Itens]]*Planejamento2024[[#This Row],[Valor unitário]]</f>
        <v>3870</v>
      </c>
      <c r="J278" s="83" t="s">
        <v>20</v>
      </c>
      <c r="K278" s="83" t="s">
        <v>478</v>
      </c>
      <c r="L278" s="86">
        <v>45292</v>
      </c>
      <c r="M278" s="83" t="s">
        <v>20</v>
      </c>
      <c r="N278" s="87" t="s">
        <v>955</v>
      </c>
      <c r="O278" s="83" t="s">
        <v>827</v>
      </c>
    </row>
    <row r="279" spans="1:15" ht="18">
      <c r="A279" s="81">
        <f t="shared" si="4"/>
        <v>278</v>
      </c>
      <c r="B279" s="82" t="s">
        <v>1132</v>
      </c>
      <c r="C279" s="83" t="s">
        <v>34</v>
      </c>
      <c r="D279" s="83" t="s">
        <v>35</v>
      </c>
      <c r="E279" s="84">
        <v>500</v>
      </c>
      <c r="F279" s="85">
        <v>8.18</v>
      </c>
      <c r="G279" s="83" t="s">
        <v>885</v>
      </c>
      <c r="H279" s="83" t="s">
        <v>1105</v>
      </c>
      <c r="I279" s="85">
        <f>Planejamento2024[[#This Row],[Qnt de Itens]]*Planejamento2024[[#This Row],[Valor unitário]]</f>
        <v>4090</v>
      </c>
      <c r="J279" s="83" t="s">
        <v>20</v>
      </c>
      <c r="K279" s="83" t="s">
        <v>415</v>
      </c>
      <c r="L279" s="86">
        <v>45292</v>
      </c>
      <c r="M279" s="83" t="s">
        <v>20</v>
      </c>
      <c r="N279" s="87" t="s">
        <v>955</v>
      </c>
      <c r="O279" s="83" t="s">
        <v>827</v>
      </c>
    </row>
    <row r="280" spans="1:15" ht="18">
      <c r="A280" s="81">
        <f t="shared" si="4"/>
        <v>279</v>
      </c>
      <c r="B280" s="82" t="s">
        <v>1133</v>
      </c>
      <c r="C280" s="83" t="s">
        <v>34</v>
      </c>
      <c r="D280" s="83" t="s">
        <v>35</v>
      </c>
      <c r="E280" s="84">
        <v>800</v>
      </c>
      <c r="F280" s="85">
        <v>2.76</v>
      </c>
      <c r="G280" s="83" t="s">
        <v>986</v>
      </c>
      <c r="H280" s="83" t="s">
        <v>1105</v>
      </c>
      <c r="I280" s="85">
        <f>Planejamento2024[[#This Row],[Qnt de Itens]]*Planejamento2024[[#This Row],[Valor unitário]]</f>
        <v>2208</v>
      </c>
      <c r="J280" s="83" t="s">
        <v>20</v>
      </c>
      <c r="K280" s="83" t="s">
        <v>415</v>
      </c>
      <c r="L280" s="86">
        <v>45292</v>
      </c>
      <c r="M280" s="83" t="s">
        <v>20</v>
      </c>
      <c r="N280" s="87" t="s">
        <v>955</v>
      </c>
      <c r="O280" s="83" t="s">
        <v>827</v>
      </c>
    </row>
    <row r="281" spans="1:15" ht="18">
      <c r="A281" s="81">
        <f t="shared" si="4"/>
        <v>280</v>
      </c>
      <c r="B281" s="82" t="s">
        <v>1134</v>
      </c>
      <c r="C281" s="83" t="s">
        <v>34</v>
      </c>
      <c r="D281" s="83" t="s">
        <v>35</v>
      </c>
      <c r="E281" s="84">
        <v>100</v>
      </c>
      <c r="F281" s="85">
        <v>13.83</v>
      </c>
      <c r="G281" s="83" t="s">
        <v>885</v>
      </c>
      <c r="H281" s="83" t="s">
        <v>1105</v>
      </c>
      <c r="I281" s="85">
        <f>Planejamento2024[[#This Row],[Qnt de Itens]]*Planejamento2024[[#This Row],[Valor unitário]]</f>
        <v>1383</v>
      </c>
      <c r="J281" s="83" t="s">
        <v>20</v>
      </c>
      <c r="K281" s="83" t="s">
        <v>492</v>
      </c>
      <c r="L281" s="86">
        <v>45292</v>
      </c>
      <c r="M281" s="83" t="s">
        <v>20</v>
      </c>
      <c r="N281" s="87" t="s">
        <v>955</v>
      </c>
      <c r="O281" s="83" t="s">
        <v>827</v>
      </c>
    </row>
    <row r="282" spans="1:15" ht="18">
      <c r="A282" s="81">
        <f t="shared" si="4"/>
        <v>281</v>
      </c>
      <c r="B282" s="82" t="s">
        <v>1135</v>
      </c>
      <c r="C282" s="83" t="s">
        <v>34</v>
      </c>
      <c r="D282" s="83" t="s">
        <v>35</v>
      </c>
      <c r="E282" s="84">
        <v>50</v>
      </c>
      <c r="F282" s="85">
        <v>4.1500000000000004</v>
      </c>
      <c r="G282" s="83" t="s">
        <v>510</v>
      </c>
      <c r="H282" s="83" t="s">
        <v>1105</v>
      </c>
      <c r="I282" s="85">
        <f>Planejamento2024[[#This Row],[Qnt de Itens]]*Planejamento2024[[#This Row],[Valor unitário]]</f>
        <v>207.50000000000003</v>
      </c>
      <c r="J282" s="83" t="s">
        <v>20</v>
      </c>
      <c r="K282" s="83" t="s">
        <v>492</v>
      </c>
      <c r="L282" s="86">
        <v>45292</v>
      </c>
      <c r="M282" s="83" t="s">
        <v>20</v>
      </c>
      <c r="N282" s="87" t="s">
        <v>955</v>
      </c>
      <c r="O282" s="83" t="s">
        <v>827</v>
      </c>
    </row>
    <row r="283" spans="1:15" ht="45">
      <c r="A283" s="81">
        <f t="shared" si="4"/>
        <v>282</v>
      </c>
      <c r="B283" s="82" t="s">
        <v>1136</v>
      </c>
      <c r="C283" s="83" t="s">
        <v>34</v>
      </c>
      <c r="D283" s="83" t="s">
        <v>35</v>
      </c>
      <c r="E283" s="84">
        <v>300</v>
      </c>
      <c r="F283" s="85">
        <v>199.13</v>
      </c>
      <c r="G283" s="83" t="s">
        <v>510</v>
      </c>
      <c r="H283" s="83" t="s">
        <v>1105</v>
      </c>
      <c r="I283" s="85">
        <f>Planejamento2024[[#This Row],[Qnt de Itens]]*Planejamento2024[[#This Row],[Valor unitário]]</f>
        <v>59739</v>
      </c>
      <c r="J283" s="83" t="s">
        <v>20</v>
      </c>
      <c r="K283" s="83" t="s">
        <v>415</v>
      </c>
      <c r="L283" s="86">
        <v>45292</v>
      </c>
      <c r="M283" s="83" t="s">
        <v>20</v>
      </c>
      <c r="N283" s="87" t="s">
        <v>955</v>
      </c>
      <c r="O283" s="83" t="s">
        <v>827</v>
      </c>
    </row>
    <row r="284" spans="1:15" ht="18">
      <c r="A284" s="81">
        <f t="shared" si="4"/>
        <v>283</v>
      </c>
      <c r="B284" s="82" t="s">
        <v>1137</v>
      </c>
      <c r="C284" s="83" t="s">
        <v>34</v>
      </c>
      <c r="D284" s="83" t="s">
        <v>35</v>
      </c>
      <c r="E284" s="84">
        <v>5000</v>
      </c>
      <c r="F284" s="85">
        <v>0.28000000000000003</v>
      </c>
      <c r="G284" s="83" t="s">
        <v>885</v>
      </c>
      <c r="H284" s="83" t="s">
        <v>1105</v>
      </c>
      <c r="I284" s="85">
        <f>Planejamento2024[[#This Row],[Qnt de Itens]]*Planejamento2024[[#This Row],[Valor unitário]]</f>
        <v>1400.0000000000002</v>
      </c>
      <c r="J284" s="83" t="s">
        <v>20</v>
      </c>
      <c r="K284" s="83" t="s">
        <v>415</v>
      </c>
      <c r="L284" s="86">
        <v>45292</v>
      </c>
      <c r="M284" s="83" t="s">
        <v>20</v>
      </c>
      <c r="N284" s="87" t="s">
        <v>955</v>
      </c>
      <c r="O284" s="83" t="s">
        <v>827</v>
      </c>
    </row>
    <row r="285" spans="1:15" ht="18">
      <c r="A285" s="81">
        <f t="shared" si="4"/>
        <v>284</v>
      </c>
      <c r="B285" s="82" t="s">
        <v>1138</v>
      </c>
      <c r="C285" s="83" t="s">
        <v>34</v>
      </c>
      <c r="D285" s="83" t="s">
        <v>35</v>
      </c>
      <c r="E285" s="84">
        <v>5000</v>
      </c>
      <c r="F285" s="85">
        <v>0.49</v>
      </c>
      <c r="G285" s="83" t="s">
        <v>885</v>
      </c>
      <c r="H285" s="83" t="s">
        <v>1105</v>
      </c>
      <c r="I285" s="85">
        <f>Planejamento2024[[#This Row],[Qnt de Itens]]*Planejamento2024[[#This Row],[Valor unitário]]</f>
        <v>2450</v>
      </c>
      <c r="J285" s="83" t="s">
        <v>20</v>
      </c>
      <c r="K285" s="83" t="s">
        <v>415</v>
      </c>
      <c r="L285" s="86">
        <v>45292</v>
      </c>
      <c r="M285" s="83" t="s">
        <v>20</v>
      </c>
      <c r="N285" s="87" t="s">
        <v>955</v>
      </c>
      <c r="O285" s="83" t="s">
        <v>827</v>
      </c>
    </row>
    <row r="286" spans="1:15" ht="45">
      <c r="A286" s="81">
        <f t="shared" si="4"/>
        <v>285</v>
      </c>
      <c r="B286" s="82" t="s">
        <v>1139</v>
      </c>
      <c r="C286" s="83" t="s">
        <v>34</v>
      </c>
      <c r="D286" s="83" t="s">
        <v>35</v>
      </c>
      <c r="E286" s="84">
        <v>150</v>
      </c>
      <c r="F286" s="85">
        <v>95.33</v>
      </c>
      <c r="G286" s="83" t="s">
        <v>510</v>
      </c>
      <c r="H286" s="83" t="s">
        <v>1105</v>
      </c>
      <c r="I286" s="85">
        <f>Planejamento2024[[#This Row],[Qnt de Itens]]*Planejamento2024[[#This Row],[Valor unitário]]</f>
        <v>14299.5</v>
      </c>
      <c r="J286" s="83" t="s">
        <v>20</v>
      </c>
      <c r="K286" s="83" t="s">
        <v>415</v>
      </c>
      <c r="L286" s="86">
        <v>45292</v>
      </c>
      <c r="M286" s="83" t="s">
        <v>20</v>
      </c>
      <c r="N286" s="87" t="s">
        <v>955</v>
      </c>
      <c r="O286" s="83" t="s">
        <v>827</v>
      </c>
    </row>
    <row r="287" spans="1:15" ht="36">
      <c r="A287" s="81">
        <f t="shared" si="4"/>
        <v>286</v>
      </c>
      <c r="B287" s="82" t="s">
        <v>1140</v>
      </c>
      <c r="C287" s="83" t="s">
        <v>34</v>
      </c>
      <c r="D287" s="83" t="s">
        <v>35</v>
      </c>
      <c r="E287" s="84">
        <v>30000</v>
      </c>
      <c r="F287" s="85">
        <v>0.22</v>
      </c>
      <c r="G287" s="83" t="s">
        <v>885</v>
      </c>
      <c r="H287" s="83" t="s">
        <v>1105</v>
      </c>
      <c r="I287" s="85">
        <f>Planejamento2024[[#This Row],[Qnt de Itens]]*Planejamento2024[[#This Row],[Valor unitário]]</f>
        <v>6600</v>
      </c>
      <c r="J287" s="83" t="s">
        <v>20</v>
      </c>
      <c r="K287" s="83" t="s">
        <v>415</v>
      </c>
      <c r="L287" s="86">
        <v>45292</v>
      </c>
      <c r="M287" s="83" t="s">
        <v>20</v>
      </c>
      <c r="N287" s="87" t="s">
        <v>955</v>
      </c>
      <c r="O287" s="83" t="s">
        <v>827</v>
      </c>
    </row>
    <row r="288" spans="1:15" ht="36">
      <c r="A288" s="81">
        <f t="shared" si="4"/>
        <v>287</v>
      </c>
      <c r="B288" s="92" t="s">
        <v>1141</v>
      </c>
      <c r="C288" s="83" t="s">
        <v>34</v>
      </c>
      <c r="D288" s="83" t="s">
        <v>35</v>
      </c>
      <c r="E288" s="93">
        <v>5000</v>
      </c>
      <c r="F288" s="94"/>
      <c r="G288" s="95" t="s">
        <v>885</v>
      </c>
      <c r="H288" s="83" t="s">
        <v>1105</v>
      </c>
      <c r="I288" s="85">
        <f>Planejamento2024[[#This Row],[Qnt de Itens]]*Planejamento2024[[#This Row],[Valor unitário]]</f>
        <v>0</v>
      </c>
      <c r="J288" s="83" t="s">
        <v>20</v>
      </c>
      <c r="K288" s="83" t="s">
        <v>492</v>
      </c>
      <c r="L288" s="86">
        <v>45292</v>
      </c>
      <c r="M288" s="83" t="s">
        <v>20</v>
      </c>
      <c r="N288" s="87" t="s">
        <v>955</v>
      </c>
      <c r="O288" s="83" t="s">
        <v>827</v>
      </c>
    </row>
    <row r="289" spans="1:15" ht="45">
      <c r="A289" s="81">
        <f t="shared" si="4"/>
        <v>288</v>
      </c>
      <c r="B289" s="82" t="s">
        <v>1142</v>
      </c>
      <c r="C289" s="83" t="s">
        <v>34</v>
      </c>
      <c r="D289" s="83" t="s">
        <v>35</v>
      </c>
      <c r="E289" s="84">
        <v>400</v>
      </c>
      <c r="F289" s="85">
        <v>3.32</v>
      </c>
      <c r="G289" s="83" t="s">
        <v>885</v>
      </c>
      <c r="H289" s="83" t="s">
        <v>1105</v>
      </c>
      <c r="I289" s="85">
        <f>Planejamento2024[[#This Row],[Qnt de Itens]]*Planejamento2024[[#This Row],[Valor unitário]]</f>
        <v>1328</v>
      </c>
      <c r="J289" s="83" t="s">
        <v>20</v>
      </c>
      <c r="K289" s="83" t="s">
        <v>478</v>
      </c>
      <c r="L289" s="86">
        <v>45292</v>
      </c>
      <c r="M289" s="83" t="s">
        <v>20</v>
      </c>
      <c r="N289" s="87" t="s">
        <v>955</v>
      </c>
      <c r="O289" s="83" t="s">
        <v>827</v>
      </c>
    </row>
    <row r="290" spans="1:15" ht="27">
      <c r="A290" s="81">
        <f t="shared" si="4"/>
        <v>289</v>
      </c>
      <c r="B290" s="82" t="s">
        <v>1143</v>
      </c>
      <c r="C290" s="83" t="s">
        <v>34</v>
      </c>
      <c r="D290" s="83" t="s">
        <v>35</v>
      </c>
      <c r="E290" s="84">
        <v>400</v>
      </c>
      <c r="F290" s="85">
        <v>9.09</v>
      </c>
      <c r="G290" s="83" t="s">
        <v>510</v>
      </c>
      <c r="H290" s="83" t="s">
        <v>1105</v>
      </c>
      <c r="I290" s="85">
        <f>Planejamento2024[[#This Row],[Qnt de Itens]]*Planejamento2024[[#This Row],[Valor unitário]]</f>
        <v>3636</v>
      </c>
      <c r="J290" s="83" t="s">
        <v>20</v>
      </c>
      <c r="K290" s="83" t="s">
        <v>478</v>
      </c>
      <c r="L290" s="86">
        <v>45292</v>
      </c>
      <c r="M290" s="83" t="s">
        <v>20</v>
      </c>
      <c r="N290" s="87"/>
      <c r="O290" s="83" t="s">
        <v>827</v>
      </c>
    </row>
    <row r="291" spans="1:15" ht="63">
      <c r="A291" s="81">
        <f t="shared" si="4"/>
        <v>290</v>
      </c>
      <c r="B291" s="82" t="s">
        <v>1144</v>
      </c>
      <c r="C291" s="83" t="s">
        <v>34</v>
      </c>
      <c r="D291" s="83" t="s">
        <v>35</v>
      </c>
      <c r="E291" s="84">
        <v>33</v>
      </c>
      <c r="F291" s="85">
        <v>82.97</v>
      </c>
      <c r="G291" s="83" t="s">
        <v>510</v>
      </c>
      <c r="H291" s="83" t="s">
        <v>1105</v>
      </c>
      <c r="I291" s="85">
        <f>Planejamento2024[[#This Row],[Qnt de Itens]]*Planejamento2024[[#This Row],[Valor unitário]]</f>
        <v>2738.0099999999998</v>
      </c>
      <c r="J291" s="83" t="s">
        <v>20</v>
      </c>
      <c r="K291" s="83" t="s">
        <v>478</v>
      </c>
      <c r="L291" s="86">
        <v>45292</v>
      </c>
      <c r="M291" s="83" t="s">
        <v>20</v>
      </c>
      <c r="N291" s="87" t="s">
        <v>955</v>
      </c>
      <c r="O291" s="83" t="s">
        <v>827</v>
      </c>
    </row>
    <row r="292" spans="1:15" ht="45">
      <c r="A292" s="81">
        <f t="shared" si="4"/>
        <v>291</v>
      </c>
      <c r="B292" s="82" t="s">
        <v>1145</v>
      </c>
      <c r="C292" s="83" t="s">
        <v>34</v>
      </c>
      <c r="D292" s="83" t="s">
        <v>35</v>
      </c>
      <c r="E292" s="84">
        <v>200</v>
      </c>
      <c r="F292" s="85">
        <v>30.16</v>
      </c>
      <c r="G292" s="83" t="s">
        <v>510</v>
      </c>
      <c r="H292" s="83" t="s">
        <v>1105</v>
      </c>
      <c r="I292" s="85">
        <f>Planejamento2024[[#This Row],[Qnt de Itens]]*Planejamento2024[[#This Row],[Valor unitário]]</f>
        <v>6032</v>
      </c>
      <c r="J292" s="83" t="s">
        <v>20</v>
      </c>
      <c r="K292" s="83" t="s">
        <v>478</v>
      </c>
      <c r="L292" s="86">
        <v>45292</v>
      </c>
      <c r="M292" s="83" t="s">
        <v>20</v>
      </c>
      <c r="N292" s="87" t="s">
        <v>955</v>
      </c>
      <c r="O292" s="83" t="s">
        <v>827</v>
      </c>
    </row>
    <row r="293" spans="1:15" ht="45">
      <c r="A293" s="81">
        <f t="shared" si="4"/>
        <v>292</v>
      </c>
      <c r="B293" s="82" t="s">
        <v>1146</v>
      </c>
      <c r="C293" s="83" t="s">
        <v>34</v>
      </c>
      <c r="D293" s="83" t="s">
        <v>35</v>
      </c>
      <c r="E293" s="84">
        <v>200</v>
      </c>
      <c r="F293" s="85">
        <v>30.16</v>
      </c>
      <c r="G293" s="83" t="s">
        <v>510</v>
      </c>
      <c r="H293" s="83" t="s">
        <v>1105</v>
      </c>
      <c r="I293" s="85">
        <f>Planejamento2024[[#This Row],[Qnt de Itens]]*Planejamento2024[[#This Row],[Valor unitário]]</f>
        <v>6032</v>
      </c>
      <c r="J293" s="83" t="s">
        <v>20</v>
      </c>
      <c r="K293" s="83" t="s">
        <v>478</v>
      </c>
      <c r="L293" s="86">
        <v>45292</v>
      </c>
      <c r="M293" s="83" t="s">
        <v>20</v>
      </c>
      <c r="N293" s="87" t="s">
        <v>955</v>
      </c>
      <c r="O293" s="83" t="s">
        <v>827</v>
      </c>
    </row>
    <row r="294" spans="1:15" ht="45">
      <c r="A294" s="81">
        <f t="shared" si="4"/>
        <v>293</v>
      </c>
      <c r="B294" s="82" t="s">
        <v>1147</v>
      </c>
      <c r="C294" s="83" t="s">
        <v>34</v>
      </c>
      <c r="D294" s="83" t="s">
        <v>35</v>
      </c>
      <c r="E294" s="84">
        <v>200</v>
      </c>
      <c r="F294" s="85">
        <v>30.16</v>
      </c>
      <c r="G294" s="83" t="s">
        <v>510</v>
      </c>
      <c r="H294" s="83" t="s">
        <v>1105</v>
      </c>
      <c r="I294" s="85">
        <f>Planejamento2024[[#This Row],[Qnt de Itens]]*Planejamento2024[[#This Row],[Valor unitário]]</f>
        <v>6032</v>
      </c>
      <c r="J294" s="83" t="s">
        <v>20</v>
      </c>
      <c r="K294" s="83" t="s">
        <v>478</v>
      </c>
      <c r="L294" s="86">
        <v>45292</v>
      </c>
      <c r="M294" s="83" t="s">
        <v>20</v>
      </c>
      <c r="N294" s="87" t="s">
        <v>955</v>
      </c>
      <c r="O294" s="83" t="s">
        <v>827</v>
      </c>
    </row>
    <row r="295" spans="1:15" ht="27">
      <c r="A295" s="81">
        <f t="shared" si="4"/>
        <v>294</v>
      </c>
      <c r="B295" s="82" t="s">
        <v>1148</v>
      </c>
      <c r="C295" s="83" t="s">
        <v>34</v>
      </c>
      <c r="D295" s="83" t="s">
        <v>35</v>
      </c>
      <c r="E295" s="84">
        <v>400</v>
      </c>
      <c r="F295" s="85">
        <v>2.76</v>
      </c>
      <c r="G295" s="83" t="s">
        <v>885</v>
      </c>
      <c r="H295" s="83" t="s">
        <v>1105</v>
      </c>
      <c r="I295" s="85">
        <f>Planejamento2024[[#This Row],[Qnt de Itens]]*Planejamento2024[[#This Row],[Valor unitário]]</f>
        <v>1104</v>
      </c>
      <c r="J295" s="83" t="s">
        <v>20</v>
      </c>
      <c r="K295" s="83" t="s">
        <v>478</v>
      </c>
      <c r="L295" s="86">
        <v>45292</v>
      </c>
      <c r="M295" s="83" t="s">
        <v>20</v>
      </c>
      <c r="N295" s="87" t="s">
        <v>955</v>
      </c>
      <c r="O295" s="83" t="s">
        <v>827</v>
      </c>
    </row>
    <row r="296" spans="1:15" ht="45">
      <c r="A296" s="81">
        <f t="shared" si="4"/>
        <v>295</v>
      </c>
      <c r="B296" s="82" t="s">
        <v>1149</v>
      </c>
      <c r="C296" s="83" t="s">
        <v>34</v>
      </c>
      <c r="D296" s="83" t="s">
        <v>35</v>
      </c>
      <c r="E296" s="84">
        <v>500</v>
      </c>
      <c r="F296" s="85">
        <v>84.67</v>
      </c>
      <c r="G296" s="83" t="s">
        <v>885</v>
      </c>
      <c r="H296" s="83" t="s">
        <v>1105</v>
      </c>
      <c r="I296" s="85">
        <f>Planejamento2024[[#This Row],[Qnt de Itens]]*Planejamento2024[[#This Row],[Valor unitário]]</f>
        <v>42335</v>
      </c>
      <c r="J296" s="83" t="s">
        <v>20</v>
      </c>
      <c r="K296" s="83" t="s">
        <v>492</v>
      </c>
      <c r="L296" s="86">
        <v>45292</v>
      </c>
      <c r="M296" s="83" t="s">
        <v>20</v>
      </c>
      <c r="N296" s="87" t="s">
        <v>955</v>
      </c>
      <c r="O296" s="83" t="s">
        <v>827</v>
      </c>
    </row>
    <row r="297" spans="1:15" ht="45">
      <c r="A297" s="81">
        <f t="shared" si="4"/>
        <v>296</v>
      </c>
      <c r="B297" s="82" t="s">
        <v>1150</v>
      </c>
      <c r="C297" s="83" t="s">
        <v>34</v>
      </c>
      <c r="D297" s="83" t="s">
        <v>35</v>
      </c>
      <c r="E297" s="84">
        <v>2500</v>
      </c>
      <c r="F297" s="85">
        <v>7.24</v>
      </c>
      <c r="G297" s="83" t="s">
        <v>885</v>
      </c>
      <c r="H297" s="83" t="s">
        <v>1105</v>
      </c>
      <c r="I297" s="85">
        <f>Planejamento2024[[#This Row],[Qnt de Itens]]*Planejamento2024[[#This Row],[Valor unitário]]</f>
        <v>18100</v>
      </c>
      <c r="J297" s="83" t="s">
        <v>20</v>
      </c>
      <c r="K297" s="83" t="s">
        <v>415</v>
      </c>
      <c r="L297" s="86">
        <v>45292</v>
      </c>
      <c r="M297" s="83" t="s">
        <v>20</v>
      </c>
      <c r="N297" s="87" t="s">
        <v>955</v>
      </c>
      <c r="O297" s="83" t="s">
        <v>827</v>
      </c>
    </row>
    <row r="298" spans="1:15" ht="27">
      <c r="A298" s="81">
        <f t="shared" si="4"/>
        <v>297</v>
      </c>
      <c r="B298" s="82" t="s">
        <v>1151</v>
      </c>
      <c r="C298" s="83" t="s">
        <v>34</v>
      </c>
      <c r="D298" s="83" t="s">
        <v>35</v>
      </c>
      <c r="E298" s="84">
        <v>2000</v>
      </c>
      <c r="F298" s="85">
        <v>2.77</v>
      </c>
      <c r="G298" s="83" t="s">
        <v>885</v>
      </c>
      <c r="H298" s="83" t="s">
        <v>1105</v>
      </c>
      <c r="I298" s="85">
        <f>Planejamento2024[[#This Row],[Qnt de Itens]]*Planejamento2024[[#This Row],[Valor unitário]]</f>
        <v>5540</v>
      </c>
      <c r="J298" s="83" t="s">
        <v>20</v>
      </c>
      <c r="K298" s="83" t="s">
        <v>415</v>
      </c>
      <c r="L298" s="86">
        <v>45292</v>
      </c>
      <c r="M298" s="83" t="s">
        <v>20</v>
      </c>
      <c r="N298" s="87" t="s">
        <v>955</v>
      </c>
      <c r="O298" s="83" t="s">
        <v>827</v>
      </c>
    </row>
    <row r="299" spans="1:15" ht="27">
      <c r="A299" s="81">
        <f t="shared" si="4"/>
        <v>298</v>
      </c>
      <c r="B299" s="82" t="s">
        <v>1152</v>
      </c>
      <c r="C299" s="83" t="s">
        <v>34</v>
      </c>
      <c r="D299" s="83" t="s">
        <v>35</v>
      </c>
      <c r="E299" s="84">
        <v>475</v>
      </c>
      <c r="F299" s="85">
        <v>3.62</v>
      </c>
      <c r="G299" s="83" t="s">
        <v>953</v>
      </c>
      <c r="H299" s="83" t="s">
        <v>1105</v>
      </c>
      <c r="I299" s="85">
        <f>Planejamento2024[[#This Row],[Qnt de Itens]]*Planejamento2024[[#This Row],[Valor unitário]]</f>
        <v>1719.5</v>
      </c>
      <c r="J299" s="83" t="s">
        <v>20</v>
      </c>
      <c r="K299" s="83" t="s">
        <v>415</v>
      </c>
      <c r="L299" s="86">
        <v>45292</v>
      </c>
      <c r="M299" s="83" t="s">
        <v>20</v>
      </c>
      <c r="N299" s="87" t="s">
        <v>955</v>
      </c>
      <c r="O299" s="83" t="s">
        <v>827</v>
      </c>
    </row>
    <row r="300" spans="1:15" ht="27">
      <c r="A300" s="81">
        <f t="shared" si="4"/>
        <v>299</v>
      </c>
      <c r="B300" s="82" t="s">
        <v>1153</v>
      </c>
      <c r="C300" s="83" t="s">
        <v>34</v>
      </c>
      <c r="D300" s="83" t="s">
        <v>35</v>
      </c>
      <c r="E300" s="84">
        <v>1500</v>
      </c>
      <c r="F300" s="85">
        <v>3.62</v>
      </c>
      <c r="G300" s="83" t="s">
        <v>885</v>
      </c>
      <c r="H300" s="83" t="s">
        <v>1105</v>
      </c>
      <c r="I300" s="85">
        <f>Planejamento2024[[#This Row],[Qnt de Itens]]*Planejamento2024[[#This Row],[Valor unitário]]</f>
        <v>5430</v>
      </c>
      <c r="J300" s="83" t="s">
        <v>20</v>
      </c>
      <c r="K300" s="83" t="s">
        <v>415</v>
      </c>
      <c r="L300" s="86">
        <v>45292</v>
      </c>
      <c r="M300" s="83" t="s">
        <v>20</v>
      </c>
      <c r="N300" s="87" t="s">
        <v>955</v>
      </c>
      <c r="O300" s="83" t="s">
        <v>827</v>
      </c>
    </row>
    <row r="301" spans="1:15" ht="18">
      <c r="A301" s="81">
        <f t="shared" si="4"/>
        <v>300</v>
      </c>
      <c r="B301" s="82" t="s">
        <v>1154</v>
      </c>
      <c r="C301" s="83" t="s">
        <v>34</v>
      </c>
      <c r="D301" s="83" t="s">
        <v>35</v>
      </c>
      <c r="E301" s="84">
        <v>1500</v>
      </c>
      <c r="F301" s="85">
        <v>7.14</v>
      </c>
      <c r="G301" s="83" t="s">
        <v>953</v>
      </c>
      <c r="H301" s="83" t="s">
        <v>1105</v>
      </c>
      <c r="I301" s="85">
        <f>Planejamento2024[[#This Row],[Qnt de Itens]]*Planejamento2024[[#This Row],[Valor unitário]]</f>
        <v>10710</v>
      </c>
      <c r="J301" s="83" t="s">
        <v>20</v>
      </c>
      <c r="K301" s="83" t="s">
        <v>415</v>
      </c>
      <c r="L301" s="86">
        <v>45292</v>
      </c>
      <c r="M301" s="83" t="s">
        <v>20</v>
      </c>
      <c r="N301" s="87" t="s">
        <v>955</v>
      </c>
      <c r="O301" s="83" t="s">
        <v>827</v>
      </c>
    </row>
    <row r="302" spans="1:15" ht="18">
      <c r="A302" s="81">
        <f t="shared" si="4"/>
        <v>301</v>
      </c>
      <c r="B302" s="82" t="s">
        <v>1155</v>
      </c>
      <c r="C302" s="83" t="s">
        <v>34</v>
      </c>
      <c r="D302" s="83" t="s">
        <v>35</v>
      </c>
      <c r="E302" s="84">
        <v>1500</v>
      </c>
      <c r="F302" s="85">
        <v>11.55</v>
      </c>
      <c r="G302" s="83" t="s">
        <v>953</v>
      </c>
      <c r="H302" s="83" t="s">
        <v>1105</v>
      </c>
      <c r="I302" s="85">
        <f>Planejamento2024[[#This Row],[Qnt de Itens]]*Planejamento2024[[#This Row],[Valor unitário]]</f>
        <v>17325</v>
      </c>
      <c r="J302" s="83" t="s">
        <v>20</v>
      </c>
      <c r="K302" s="83" t="s">
        <v>415</v>
      </c>
      <c r="L302" s="86">
        <v>45292</v>
      </c>
      <c r="M302" s="83" t="s">
        <v>20</v>
      </c>
      <c r="N302" s="87" t="s">
        <v>955</v>
      </c>
      <c r="O302" s="83" t="s">
        <v>827</v>
      </c>
    </row>
    <row r="303" spans="1:15" ht="18">
      <c r="A303" s="81">
        <f t="shared" si="4"/>
        <v>302</v>
      </c>
      <c r="B303" s="82" t="s">
        <v>1156</v>
      </c>
      <c r="C303" s="83" t="s">
        <v>34</v>
      </c>
      <c r="D303" s="83" t="s">
        <v>35</v>
      </c>
      <c r="E303" s="84">
        <v>500</v>
      </c>
      <c r="F303" s="85">
        <v>19.36</v>
      </c>
      <c r="G303" s="83" t="s">
        <v>885</v>
      </c>
      <c r="H303" s="83" t="s">
        <v>1105</v>
      </c>
      <c r="I303" s="85">
        <f>Planejamento2024[[#This Row],[Qnt de Itens]]*Planejamento2024[[#This Row],[Valor unitário]]</f>
        <v>9680</v>
      </c>
      <c r="J303" s="83" t="s">
        <v>20</v>
      </c>
      <c r="K303" s="83" t="s">
        <v>415</v>
      </c>
      <c r="L303" s="86">
        <v>45292</v>
      </c>
      <c r="M303" s="83" t="s">
        <v>20</v>
      </c>
      <c r="N303" s="87" t="s">
        <v>955</v>
      </c>
      <c r="O303" s="83" t="s">
        <v>827</v>
      </c>
    </row>
    <row r="304" spans="1:15" ht="18">
      <c r="A304" s="81">
        <f t="shared" si="4"/>
        <v>303</v>
      </c>
      <c r="B304" s="82" t="s">
        <v>1157</v>
      </c>
      <c r="C304" s="83" t="s">
        <v>34</v>
      </c>
      <c r="D304" s="83" t="s">
        <v>35</v>
      </c>
      <c r="E304" s="84">
        <v>2000</v>
      </c>
      <c r="F304" s="85">
        <v>11.55</v>
      </c>
      <c r="G304" s="83" t="s">
        <v>953</v>
      </c>
      <c r="H304" s="83" t="s">
        <v>1105</v>
      </c>
      <c r="I304" s="85">
        <f>Planejamento2024[[#This Row],[Qnt de Itens]]*Planejamento2024[[#This Row],[Valor unitário]]</f>
        <v>23100</v>
      </c>
      <c r="J304" s="83" t="s">
        <v>20</v>
      </c>
      <c r="K304" s="83" t="s">
        <v>415</v>
      </c>
      <c r="L304" s="86">
        <v>45292</v>
      </c>
      <c r="M304" s="83" t="s">
        <v>20</v>
      </c>
      <c r="N304" s="87" t="s">
        <v>955</v>
      </c>
      <c r="O304" s="83" t="s">
        <v>827</v>
      </c>
    </row>
    <row r="305" spans="1:15" ht="18">
      <c r="A305" s="81">
        <f t="shared" si="4"/>
        <v>304</v>
      </c>
      <c r="B305" s="82" t="s">
        <v>1158</v>
      </c>
      <c r="C305" s="83" t="s">
        <v>34</v>
      </c>
      <c r="D305" s="83" t="s">
        <v>35</v>
      </c>
      <c r="E305" s="84">
        <v>500</v>
      </c>
      <c r="F305" s="85">
        <v>6.31</v>
      </c>
      <c r="G305" s="83" t="s">
        <v>885</v>
      </c>
      <c r="H305" s="83" t="s">
        <v>1105</v>
      </c>
      <c r="I305" s="85">
        <f>Planejamento2024[[#This Row],[Qnt de Itens]]*Planejamento2024[[#This Row],[Valor unitário]]</f>
        <v>3155</v>
      </c>
      <c r="J305" s="83" t="s">
        <v>20</v>
      </c>
      <c r="K305" s="83" t="s">
        <v>415</v>
      </c>
      <c r="L305" s="86">
        <v>45292</v>
      </c>
      <c r="M305" s="83" t="s">
        <v>20</v>
      </c>
      <c r="N305" s="87"/>
      <c r="O305" s="83" t="s">
        <v>827</v>
      </c>
    </row>
    <row r="306" spans="1:15" ht="36">
      <c r="A306" s="81">
        <f t="shared" si="4"/>
        <v>305</v>
      </c>
      <c r="B306" s="82" t="s">
        <v>1159</v>
      </c>
      <c r="C306" s="83" t="s">
        <v>34</v>
      </c>
      <c r="D306" s="83" t="s">
        <v>35</v>
      </c>
      <c r="E306" s="84">
        <v>2000</v>
      </c>
      <c r="F306" s="85">
        <v>1.21</v>
      </c>
      <c r="G306" s="83" t="s">
        <v>885</v>
      </c>
      <c r="H306" s="83" t="s">
        <v>1105</v>
      </c>
      <c r="I306" s="85">
        <f>Planejamento2024[[#This Row],[Qnt de Itens]]*Planejamento2024[[#This Row],[Valor unitário]]</f>
        <v>2420</v>
      </c>
      <c r="J306" s="83" t="s">
        <v>20</v>
      </c>
      <c r="K306" s="83" t="s">
        <v>492</v>
      </c>
      <c r="L306" s="86">
        <v>45292</v>
      </c>
      <c r="M306" s="83" t="s">
        <v>20</v>
      </c>
      <c r="N306" s="87" t="s">
        <v>955</v>
      </c>
      <c r="O306" s="83" t="s">
        <v>827</v>
      </c>
    </row>
    <row r="307" spans="1:15" ht="27">
      <c r="A307" s="81">
        <f t="shared" si="4"/>
        <v>306</v>
      </c>
      <c r="B307" s="82" t="s">
        <v>1160</v>
      </c>
      <c r="C307" s="83" t="s">
        <v>34</v>
      </c>
      <c r="D307" s="83" t="s">
        <v>35</v>
      </c>
      <c r="E307" s="84">
        <v>500</v>
      </c>
      <c r="F307" s="85">
        <v>15.21</v>
      </c>
      <c r="G307" s="83" t="s">
        <v>885</v>
      </c>
      <c r="H307" s="83" t="s">
        <v>1105</v>
      </c>
      <c r="I307" s="85">
        <f>Planejamento2024[[#This Row],[Qnt de Itens]]*Planejamento2024[[#This Row],[Valor unitário]]</f>
        <v>7605</v>
      </c>
      <c r="J307" s="83" t="s">
        <v>20</v>
      </c>
      <c r="K307" s="83" t="s">
        <v>415</v>
      </c>
      <c r="L307" s="86">
        <v>45292</v>
      </c>
      <c r="M307" s="83" t="s">
        <v>20</v>
      </c>
      <c r="N307" s="87" t="s">
        <v>955</v>
      </c>
      <c r="O307" s="83" t="s">
        <v>827</v>
      </c>
    </row>
    <row r="308" spans="1:15" ht="36">
      <c r="A308" s="81">
        <f t="shared" si="4"/>
        <v>307</v>
      </c>
      <c r="B308" s="82" t="s">
        <v>1161</v>
      </c>
      <c r="C308" s="83" t="s">
        <v>34</v>
      </c>
      <c r="D308" s="83" t="s">
        <v>35</v>
      </c>
      <c r="E308" s="84">
        <v>50</v>
      </c>
      <c r="F308" s="85">
        <v>138.28</v>
      </c>
      <c r="G308" s="83" t="s">
        <v>885</v>
      </c>
      <c r="H308" s="83" t="s">
        <v>1105</v>
      </c>
      <c r="I308" s="85">
        <f>Planejamento2024[[#This Row],[Qnt de Itens]]*Planejamento2024[[#This Row],[Valor unitário]]</f>
        <v>6914</v>
      </c>
      <c r="J308" s="83" t="s">
        <v>20</v>
      </c>
      <c r="K308" s="83" t="s">
        <v>415</v>
      </c>
      <c r="L308" s="86">
        <v>45292</v>
      </c>
      <c r="M308" s="83" t="s">
        <v>20</v>
      </c>
      <c r="N308" s="87" t="s">
        <v>955</v>
      </c>
      <c r="O308" s="83" t="s">
        <v>827</v>
      </c>
    </row>
    <row r="309" spans="1:15" ht="81">
      <c r="A309" s="81">
        <f t="shared" si="4"/>
        <v>308</v>
      </c>
      <c r="B309" s="82" t="s">
        <v>1162</v>
      </c>
      <c r="C309" s="83" t="s">
        <v>34</v>
      </c>
      <c r="D309" s="83" t="s">
        <v>35</v>
      </c>
      <c r="E309" s="84">
        <v>100</v>
      </c>
      <c r="F309" s="85">
        <v>138.28</v>
      </c>
      <c r="G309" s="83" t="s">
        <v>885</v>
      </c>
      <c r="H309" s="83" t="s">
        <v>1105</v>
      </c>
      <c r="I309" s="85">
        <f>Planejamento2024[[#This Row],[Qnt de Itens]]*Planejamento2024[[#This Row],[Valor unitário]]</f>
        <v>13828</v>
      </c>
      <c r="J309" s="83" t="s">
        <v>20</v>
      </c>
      <c r="K309" s="83" t="s">
        <v>415</v>
      </c>
      <c r="L309" s="86">
        <v>45292</v>
      </c>
      <c r="M309" s="83" t="s">
        <v>20</v>
      </c>
      <c r="N309" s="87" t="s">
        <v>955</v>
      </c>
      <c r="O309" s="83" t="s">
        <v>827</v>
      </c>
    </row>
    <row r="310" spans="1:15" ht="54">
      <c r="A310" s="81">
        <f t="shared" si="4"/>
        <v>309</v>
      </c>
      <c r="B310" s="82" t="s">
        <v>1163</v>
      </c>
      <c r="C310" s="83" t="s">
        <v>34</v>
      </c>
      <c r="D310" s="83" t="s">
        <v>35</v>
      </c>
      <c r="E310" s="84">
        <v>800</v>
      </c>
      <c r="F310" s="85">
        <v>33.19</v>
      </c>
      <c r="G310" s="83" t="s">
        <v>885</v>
      </c>
      <c r="H310" s="83" t="s">
        <v>1105</v>
      </c>
      <c r="I310" s="85">
        <f>Planejamento2024[[#This Row],[Qnt de Itens]]*Planejamento2024[[#This Row],[Valor unitário]]</f>
        <v>26552</v>
      </c>
      <c r="J310" s="83" t="s">
        <v>20</v>
      </c>
      <c r="K310" s="83" t="s">
        <v>415</v>
      </c>
      <c r="L310" s="86">
        <v>45292</v>
      </c>
      <c r="M310" s="83" t="s">
        <v>20</v>
      </c>
      <c r="N310" s="87" t="s">
        <v>955</v>
      </c>
      <c r="O310" s="83" t="s">
        <v>827</v>
      </c>
    </row>
    <row r="311" spans="1:15" ht="27">
      <c r="A311" s="81">
        <f t="shared" si="4"/>
        <v>310</v>
      </c>
      <c r="B311" s="82" t="s">
        <v>1164</v>
      </c>
      <c r="C311" s="83" t="s">
        <v>34</v>
      </c>
      <c r="D311" s="83" t="s">
        <v>35</v>
      </c>
      <c r="E311" s="84">
        <v>600</v>
      </c>
      <c r="F311" s="85">
        <v>27.66</v>
      </c>
      <c r="G311" s="83" t="s">
        <v>885</v>
      </c>
      <c r="H311" s="83" t="s">
        <v>1105</v>
      </c>
      <c r="I311" s="85">
        <f>Planejamento2024[[#This Row],[Qnt de Itens]]*Planejamento2024[[#This Row],[Valor unitário]]</f>
        <v>16596</v>
      </c>
      <c r="J311" s="83" t="s">
        <v>20</v>
      </c>
      <c r="K311" s="83" t="s">
        <v>415</v>
      </c>
      <c r="L311" s="86">
        <v>45292</v>
      </c>
      <c r="M311" s="83" t="s">
        <v>20</v>
      </c>
      <c r="N311" s="87" t="s">
        <v>955</v>
      </c>
      <c r="O311" s="83" t="s">
        <v>827</v>
      </c>
    </row>
    <row r="312" spans="1:15" ht="27">
      <c r="A312" s="81">
        <f t="shared" si="4"/>
        <v>311</v>
      </c>
      <c r="B312" s="82" t="s">
        <v>1165</v>
      </c>
      <c r="C312" s="83" t="s">
        <v>34</v>
      </c>
      <c r="D312" s="83" t="s">
        <v>35</v>
      </c>
      <c r="E312" s="84">
        <v>600</v>
      </c>
      <c r="F312" s="85">
        <v>8.2899999999999991</v>
      </c>
      <c r="G312" s="83" t="s">
        <v>510</v>
      </c>
      <c r="H312" s="83" t="s">
        <v>1105</v>
      </c>
      <c r="I312" s="85">
        <f>Planejamento2024[[#This Row],[Qnt de Itens]]*Planejamento2024[[#This Row],[Valor unitário]]</f>
        <v>4973.9999999999991</v>
      </c>
      <c r="J312" s="83" t="s">
        <v>20</v>
      </c>
      <c r="K312" s="83" t="s">
        <v>415</v>
      </c>
      <c r="L312" s="86">
        <v>45292</v>
      </c>
      <c r="M312" s="83" t="s">
        <v>20</v>
      </c>
      <c r="N312" s="87" t="s">
        <v>955</v>
      </c>
      <c r="O312" s="83" t="s">
        <v>827</v>
      </c>
    </row>
    <row r="313" spans="1:15" ht="27">
      <c r="A313" s="81">
        <f t="shared" si="4"/>
        <v>312</v>
      </c>
      <c r="B313" s="82" t="s">
        <v>1166</v>
      </c>
      <c r="C313" s="83" t="s">
        <v>34</v>
      </c>
      <c r="D313" s="83" t="s">
        <v>35</v>
      </c>
      <c r="E313" s="84">
        <v>600</v>
      </c>
      <c r="F313" s="85">
        <v>41.49</v>
      </c>
      <c r="G313" s="83" t="s">
        <v>510</v>
      </c>
      <c r="H313" s="83" t="s">
        <v>1105</v>
      </c>
      <c r="I313" s="85">
        <f>Planejamento2024[[#This Row],[Qnt de Itens]]*Planejamento2024[[#This Row],[Valor unitário]]</f>
        <v>24894</v>
      </c>
      <c r="J313" s="83" t="s">
        <v>20</v>
      </c>
      <c r="K313" s="83" t="s">
        <v>415</v>
      </c>
      <c r="L313" s="86">
        <v>45292</v>
      </c>
      <c r="M313" s="83" t="s">
        <v>20</v>
      </c>
      <c r="N313" s="87" t="s">
        <v>955</v>
      </c>
      <c r="O313" s="83" t="s">
        <v>827</v>
      </c>
    </row>
    <row r="314" spans="1:15" ht="27">
      <c r="A314" s="81">
        <f t="shared" si="4"/>
        <v>313</v>
      </c>
      <c r="B314" s="82" t="s">
        <v>1167</v>
      </c>
      <c r="C314" s="83" t="s">
        <v>34</v>
      </c>
      <c r="D314" s="83" t="s">
        <v>35</v>
      </c>
      <c r="E314" s="84">
        <v>600</v>
      </c>
      <c r="F314" s="85">
        <v>11.06</v>
      </c>
      <c r="G314" s="83" t="s">
        <v>510</v>
      </c>
      <c r="H314" s="83" t="s">
        <v>1105</v>
      </c>
      <c r="I314" s="85">
        <f>Planejamento2024[[#This Row],[Qnt de Itens]]*Planejamento2024[[#This Row],[Valor unitário]]</f>
        <v>6636</v>
      </c>
      <c r="J314" s="83" t="s">
        <v>20</v>
      </c>
      <c r="K314" s="83" t="s">
        <v>415</v>
      </c>
      <c r="L314" s="86">
        <v>45292</v>
      </c>
      <c r="M314" s="83" t="s">
        <v>20</v>
      </c>
      <c r="N314" s="87" t="s">
        <v>955</v>
      </c>
      <c r="O314" s="83" t="s">
        <v>827</v>
      </c>
    </row>
    <row r="315" spans="1:15" ht="27">
      <c r="A315" s="81">
        <f t="shared" si="4"/>
        <v>314</v>
      </c>
      <c r="B315" s="82" t="s">
        <v>78</v>
      </c>
      <c r="C315" s="83" t="s">
        <v>34</v>
      </c>
      <c r="D315" s="83" t="s">
        <v>35</v>
      </c>
      <c r="E315" s="84">
        <v>200</v>
      </c>
      <c r="F315" s="85">
        <v>19.36</v>
      </c>
      <c r="G315" s="83" t="s">
        <v>510</v>
      </c>
      <c r="H315" s="83" t="s">
        <v>1105</v>
      </c>
      <c r="I315" s="85">
        <f>Planejamento2024[[#This Row],[Qnt de Itens]]*Planejamento2024[[#This Row],[Valor unitário]]</f>
        <v>3872</v>
      </c>
      <c r="J315" s="83" t="s">
        <v>20</v>
      </c>
      <c r="K315" s="83" t="s">
        <v>415</v>
      </c>
      <c r="L315" s="86">
        <v>45292</v>
      </c>
      <c r="M315" s="83" t="s">
        <v>20</v>
      </c>
      <c r="N315" s="87" t="s">
        <v>955</v>
      </c>
      <c r="O315" s="83" t="s">
        <v>827</v>
      </c>
    </row>
    <row r="316" spans="1:15" ht="36">
      <c r="A316" s="81">
        <f t="shared" si="4"/>
        <v>315</v>
      </c>
      <c r="B316" s="82" t="s">
        <v>1168</v>
      </c>
      <c r="C316" s="83" t="s">
        <v>34</v>
      </c>
      <c r="D316" s="83" t="s">
        <v>35</v>
      </c>
      <c r="E316" s="84">
        <v>4000</v>
      </c>
      <c r="F316" s="85">
        <v>17.64</v>
      </c>
      <c r="G316" s="83" t="s">
        <v>885</v>
      </c>
      <c r="H316" s="83" t="s">
        <v>1105</v>
      </c>
      <c r="I316" s="85">
        <f>Planejamento2024[[#This Row],[Qnt de Itens]]*Planejamento2024[[#This Row],[Valor unitário]]</f>
        <v>70560</v>
      </c>
      <c r="J316" s="83" t="s">
        <v>20</v>
      </c>
      <c r="K316" s="83" t="s">
        <v>415</v>
      </c>
      <c r="L316" s="86">
        <v>45292</v>
      </c>
      <c r="M316" s="83" t="s">
        <v>20</v>
      </c>
      <c r="N316" s="87" t="s">
        <v>955</v>
      </c>
      <c r="O316" s="83" t="s">
        <v>827</v>
      </c>
    </row>
    <row r="317" spans="1:15" ht="18">
      <c r="A317" s="81">
        <f t="shared" si="4"/>
        <v>316</v>
      </c>
      <c r="B317" s="82" t="s">
        <v>1169</v>
      </c>
      <c r="C317" s="83" t="s">
        <v>34</v>
      </c>
      <c r="D317" s="83" t="s">
        <v>35</v>
      </c>
      <c r="E317" s="84">
        <v>1000</v>
      </c>
      <c r="F317" s="85">
        <v>35.46</v>
      </c>
      <c r="G317" s="83" t="s">
        <v>885</v>
      </c>
      <c r="H317" s="83" t="s">
        <v>1105</v>
      </c>
      <c r="I317" s="85">
        <f>Planejamento2024[[#This Row],[Qnt de Itens]]*Planejamento2024[[#This Row],[Valor unitário]]</f>
        <v>35460</v>
      </c>
      <c r="J317" s="83" t="s">
        <v>20</v>
      </c>
      <c r="K317" s="83" t="s">
        <v>415</v>
      </c>
      <c r="L317" s="86">
        <v>45292</v>
      </c>
      <c r="M317" s="83" t="s">
        <v>20</v>
      </c>
      <c r="N317" s="87" t="s">
        <v>955</v>
      </c>
      <c r="O317" s="83" t="s">
        <v>827</v>
      </c>
    </row>
    <row r="318" spans="1:15" ht="36">
      <c r="A318" s="81">
        <f t="shared" si="4"/>
        <v>317</v>
      </c>
      <c r="B318" s="92" t="s">
        <v>1170</v>
      </c>
      <c r="C318" s="83" t="s">
        <v>34</v>
      </c>
      <c r="D318" s="83" t="s">
        <v>35</v>
      </c>
      <c r="E318" s="93">
        <v>1000</v>
      </c>
      <c r="F318" s="94"/>
      <c r="G318" s="95" t="s">
        <v>885</v>
      </c>
      <c r="H318" s="83" t="s">
        <v>1105</v>
      </c>
      <c r="I318" s="85">
        <f>Planejamento2024[[#This Row],[Qnt de Itens]]*Planejamento2024[[#This Row],[Valor unitário]]</f>
        <v>0</v>
      </c>
      <c r="J318" s="83" t="s">
        <v>20</v>
      </c>
      <c r="K318" s="83" t="s">
        <v>415</v>
      </c>
      <c r="L318" s="86">
        <v>45292</v>
      </c>
      <c r="M318" s="83" t="s">
        <v>20</v>
      </c>
      <c r="N318" s="87"/>
      <c r="O318" s="83" t="s">
        <v>827</v>
      </c>
    </row>
    <row r="319" spans="1:15" ht="36">
      <c r="A319" s="81">
        <f t="shared" si="4"/>
        <v>318</v>
      </c>
      <c r="B319" s="82" t="s">
        <v>1171</v>
      </c>
      <c r="C319" s="83" t="s">
        <v>34</v>
      </c>
      <c r="D319" s="83" t="s">
        <v>35</v>
      </c>
      <c r="E319" s="84">
        <v>100</v>
      </c>
      <c r="F319" s="85">
        <v>14.91</v>
      </c>
      <c r="G319" s="83" t="s">
        <v>885</v>
      </c>
      <c r="H319" s="83" t="s">
        <v>1105</v>
      </c>
      <c r="I319" s="85">
        <f>Planejamento2024[[#This Row],[Qnt de Itens]]*Planejamento2024[[#This Row],[Valor unitário]]</f>
        <v>1491</v>
      </c>
      <c r="J319" s="83" t="s">
        <v>20</v>
      </c>
      <c r="K319" s="83" t="s">
        <v>415</v>
      </c>
      <c r="L319" s="86">
        <v>45292</v>
      </c>
      <c r="M319" s="83" t="s">
        <v>20</v>
      </c>
      <c r="N319" s="87" t="s">
        <v>955</v>
      </c>
      <c r="O319" s="83" t="s">
        <v>827</v>
      </c>
    </row>
    <row r="320" spans="1:15" ht="18">
      <c r="A320" s="81">
        <f t="shared" si="4"/>
        <v>319</v>
      </c>
      <c r="B320" s="82" t="s">
        <v>1172</v>
      </c>
      <c r="C320" s="83" t="s">
        <v>34</v>
      </c>
      <c r="D320" s="83" t="s">
        <v>35</v>
      </c>
      <c r="E320" s="84">
        <v>100</v>
      </c>
      <c r="F320" s="85">
        <v>82.97</v>
      </c>
      <c r="G320" s="83" t="s">
        <v>885</v>
      </c>
      <c r="H320" s="83" t="s">
        <v>1105</v>
      </c>
      <c r="I320" s="85">
        <f>Planejamento2024[[#This Row],[Qnt de Itens]]*Planejamento2024[[#This Row],[Valor unitário]]</f>
        <v>8297</v>
      </c>
      <c r="J320" s="83" t="s">
        <v>20</v>
      </c>
      <c r="K320" s="83" t="s">
        <v>478</v>
      </c>
      <c r="L320" s="86">
        <v>45292</v>
      </c>
      <c r="M320" s="83" t="s">
        <v>20</v>
      </c>
      <c r="N320" s="87" t="s">
        <v>955</v>
      </c>
      <c r="O320" s="83" t="s">
        <v>827</v>
      </c>
    </row>
    <row r="321" spans="1:15" ht="27">
      <c r="A321" s="81">
        <f t="shared" si="4"/>
        <v>320</v>
      </c>
      <c r="B321" s="82" t="s">
        <v>1173</v>
      </c>
      <c r="C321" s="83" t="s">
        <v>34</v>
      </c>
      <c r="D321" s="83" t="s">
        <v>35</v>
      </c>
      <c r="E321" s="84">
        <v>100</v>
      </c>
      <c r="F321" s="85">
        <v>69.150000000000006</v>
      </c>
      <c r="G321" s="83" t="s">
        <v>885</v>
      </c>
      <c r="H321" s="83" t="s">
        <v>1105</v>
      </c>
      <c r="I321" s="85">
        <f>Planejamento2024[[#This Row],[Qnt de Itens]]*Planejamento2024[[#This Row],[Valor unitário]]</f>
        <v>6915.0000000000009</v>
      </c>
      <c r="J321" s="83" t="s">
        <v>20</v>
      </c>
      <c r="K321" s="83" t="s">
        <v>492</v>
      </c>
      <c r="L321" s="86">
        <v>45292</v>
      </c>
      <c r="M321" s="83" t="s">
        <v>20</v>
      </c>
      <c r="N321" s="87" t="s">
        <v>955</v>
      </c>
      <c r="O321" s="83" t="s">
        <v>827</v>
      </c>
    </row>
    <row r="322" spans="1:15" ht="36">
      <c r="A322" s="81">
        <f t="shared" ref="A322:A385" si="5">ROW(A321)</f>
        <v>321</v>
      </c>
      <c r="B322" s="82" t="s">
        <v>1174</v>
      </c>
      <c r="C322" s="83" t="s">
        <v>34</v>
      </c>
      <c r="D322" s="83" t="s">
        <v>35</v>
      </c>
      <c r="E322" s="84">
        <v>15000</v>
      </c>
      <c r="F322" s="85">
        <v>37.33</v>
      </c>
      <c r="G322" s="83" t="s">
        <v>890</v>
      </c>
      <c r="H322" s="83" t="s">
        <v>1105</v>
      </c>
      <c r="I322" s="85">
        <f>Planejamento2024[[#This Row],[Qnt de Itens]]*Planejamento2024[[#This Row],[Valor unitário]]</f>
        <v>559950</v>
      </c>
      <c r="J322" s="83" t="s">
        <v>20</v>
      </c>
      <c r="K322" s="83" t="s">
        <v>415</v>
      </c>
      <c r="L322" s="86">
        <v>45292</v>
      </c>
      <c r="M322" s="83" t="s">
        <v>20</v>
      </c>
      <c r="N322" s="87" t="s">
        <v>955</v>
      </c>
      <c r="O322" s="83" t="s">
        <v>827</v>
      </c>
    </row>
    <row r="323" spans="1:15" ht="27">
      <c r="A323" s="81">
        <f t="shared" si="5"/>
        <v>322</v>
      </c>
      <c r="B323" s="82" t="s">
        <v>1175</v>
      </c>
      <c r="C323" s="83" t="s">
        <v>34</v>
      </c>
      <c r="D323" s="83" t="s">
        <v>35</v>
      </c>
      <c r="E323" s="84">
        <v>500</v>
      </c>
      <c r="F323" s="85">
        <v>18.91</v>
      </c>
      <c r="G323" s="83" t="s">
        <v>890</v>
      </c>
      <c r="H323" s="83" t="s">
        <v>1105</v>
      </c>
      <c r="I323" s="85">
        <f>Planejamento2024[[#This Row],[Qnt de Itens]]*Planejamento2024[[#This Row],[Valor unitário]]</f>
        <v>9455</v>
      </c>
      <c r="J323" s="83" t="s">
        <v>20</v>
      </c>
      <c r="K323" s="83" t="s">
        <v>415</v>
      </c>
      <c r="L323" s="86">
        <v>45292</v>
      </c>
      <c r="M323" s="83" t="s">
        <v>20</v>
      </c>
      <c r="N323" s="87" t="s">
        <v>955</v>
      </c>
      <c r="O323" s="83" t="s">
        <v>827</v>
      </c>
    </row>
    <row r="324" spans="1:15" ht="27">
      <c r="A324" s="81">
        <f t="shared" si="5"/>
        <v>323</v>
      </c>
      <c r="B324" s="82" t="s">
        <v>1176</v>
      </c>
      <c r="C324" s="83" t="s">
        <v>34</v>
      </c>
      <c r="D324" s="83" t="s">
        <v>35</v>
      </c>
      <c r="E324" s="84">
        <v>300</v>
      </c>
      <c r="F324" s="85">
        <v>18.91</v>
      </c>
      <c r="G324" s="83" t="s">
        <v>890</v>
      </c>
      <c r="H324" s="83" t="s">
        <v>1105</v>
      </c>
      <c r="I324" s="85">
        <f>Planejamento2024[[#This Row],[Qnt de Itens]]*Planejamento2024[[#This Row],[Valor unitário]]</f>
        <v>5673</v>
      </c>
      <c r="J324" s="83" t="s">
        <v>20</v>
      </c>
      <c r="K324" s="83" t="s">
        <v>492</v>
      </c>
      <c r="L324" s="86">
        <v>45292</v>
      </c>
      <c r="M324" s="83" t="s">
        <v>20</v>
      </c>
      <c r="N324" s="87" t="s">
        <v>955</v>
      </c>
      <c r="O324" s="83" t="s">
        <v>827</v>
      </c>
    </row>
    <row r="325" spans="1:15" ht="54">
      <c r="A325" s="81">
        <f t="shared" si="5"/>
        <v>324</v>
      </c>
      <c r="B325" s="82" t="s">
        <v>1177</v>
      </c>
      <c r="C325" s="83" t="s">
        <v>34</v>
      </c>
      <c r="D325" s="83" t="s">
        <v>35</v>
      </c>
      <c r="E325" s="84">
        <v>5000</v>
      </c>
      <c r="F325" s="85">
        <v>9.67</v>
      </c>
      <c r="G325" s="83" t="s">
        <v>885</v>
      </c>
      <c r="H325" s="83" t="s">
        <v>1105</v>
      </c>
      <c r="I325" s="85">
        <f>Planejamento2024[[#This Row],[Qnt de Itens]]*Planejamento2024[[#This Row],[Valor unitário]]</f>
        <v>48350</v>
      </c>
      <c r="J325" s="83" t="s">
        <v>20</v>
      </c>
      <c r="K325" s="83" t="s">
        <v>415</v>
      </c>
      <c r="L325" s="86">
        <v>45292</v>
      </c>
      <c r="M325" s="83" t="s">
        <v>20</v>
      </c>
      <c r="N325" s="87" t="s">
        <v>955</v>
      </c>
      <c r="O325" s="83" t="s">
        <v>827</v>
      </c>
    </row>
    <row r="326" spans="1:15" ht="45">
      <c r="A326" s="81">
        <f t="shared" si="5"/>
        <v>325</v>
      </c>
      <c r="B326" s="82" t="s">
        <v>1178</v>
      </c>
      <c r="C326" s="83" t="s">
        <v>34</v>
      </c>
      <c r="D326" s="83" t="s">
        <v>35</v>
      </c>
      <c r="E326" s="84">
        <v>1000</v>
      </c>
      <c r="F326" s="85">
        <v>33.19</v>
      </c>
      <c r="G326" s="83" t="s">
        <v>885</v>
      </c>
      <c r="H326" s="83" t="s">
        <v>1105</v>
      </c>
      <c r="I326" s="85">
        <f>Planejamento2024[[#This Row],[Qnt de Itens]]*Planejamento2024[[#This Row],[Valor unitário]]</f>
        <v>33190</v>
      </c>
      <c r="J326" s="83" t="s">
        <v>20</v>
      </c>
      <c r="K326" s="83" t="s">
        <v>415</v>
      </c>
      <c r="L326" s="86">
        <v>45292</v>
      </c>
      <c r="M326" s="83" t="s">
        <v>20</v>
      </c>
      <c r="N326" s="87" t="s">
        <v>955</v>
      </c>
      <c r="O326" s="83" t="s">
        <v>827</v>
      </c>
    </row>
    <row r="327" spans="1:15" ht="36">
      <c r="A327" s="81">
        <f t="shared" si="5"/>
        <v>326</v>
      </c>
      <c r="B327" s="82" t="s">
        <v>1179</v>
      </c>
      <c r="C327" s="83" t="s">
        <v>34</v>
      </c>
      <c r="D327" s="83" t="s">
        <v>35</v>
      </c>
      <c r="E327" s="84">
        <v>9000</v>
      </c>
      <c r="F327" s="85">
        <v>4.42</v>
      </c>
      <c r="G327" s="83" t="s">
        <v>885</v>
      </c>
      <c r="H327" s="83" t="s">
        <v>1105</v>
      </c>
      <c r="I327" s="85">
        <f>Planejamento2024[[#This Row],[Qnt de Itens]]*Planejamento2024[[#This Row],[Valor unitário]]</f>
        <v>39780</v>
      </c>
      <c r="J327" s="83" t="s">
        <v>20</v>
      </c>
      <c r="K327" s="83" t="s">
        <v>415</v>
      </c>
      <c r="L327" s="86">
        <v>45292</v>
      </c>
      <c r="M327" s="83" t="s">
        <v>20</v>
      </c>
      <c r="N327" s="87" t="s">
        <v>955</v>
      </c>
      <c r="O327" s="83" t="s">
        <v>827</v>
      </c>
    </row>
    <row r="328" spans="1:15" ht="63">
      <c r="A328" s="81">
        <f t="shared" si="5"/>
        <v>327</v>
      </c>
      <c r="B328" s="82" t="s">
        <v>1180</v>
      </c>
      <c r="C328" s="83" t="s">
        <v>34</v>
      </c>
      <c r="D328" s="83" t="s">
        <v>35</v>
      </c>
      <c r="E328" s="84">
        <v>1500</v>
      </c>
      <c r="F328" s="85">
        <v>4.9800000000000004</v>
      </c>
      <c r="G328" s="83" t="s">
        <v>885</v>
      </c>
      <c r="H328" s="83" t="s">
        <v>1105</v>
      </c>
      <c r="I328" s="85">
        <f>Planejamento2024[[#This Row],[Qnt de Itens]]*Planejamento2024[[#This Row],[Valor unitário]]</f>
        <v>7470.0000000000009</v>
      </c>
      <c r="J328" s="83" t="s">
        <v>20</v>
      </c>
      <c r="K328" s="83" t="s">
        <v>492</v>
      </c>
      <c r="L328" s="86">
        <v>45292</v>
      </c>
      <c r="M328" s="83" t="s">
        <v>20</v>
      </c>
      <c r="N328" s="87" t="s">
        <v>955</v>
      </c>
      <c r="O328" s="83" t="s">
        <v>827</v>
      </c>
    </row>
    <row r="329" spans="1:15" ht="27">
      <c r="A329" s="81">
        <f t="shared" si="5"/>
        <v>328</v>
      </c>
      <c r="B329" s="82" t="s">
        <v>1181</v>
      </c>
      <c r="C329" s="83" t="s">
        <v>34</v>
      </c>
      <c r="D329" s="83" t="s">
        <v>35</v>
      </c>
      <c r="E329" s="84">
        <v>1000</v>
      </c>
      <c r="F329" s="85">
        <v>1.75</v>
      </c>
      <c r="G329" s="83" t="s">
        <v>885</v>
      </c>
      <c r="H329" s="83" t="s">
        <v>1105</v>
      </c>
      <c r="I329" s="85">
        <f>Planejamento2024[[#This Row],[Qnt de Itens]]*Planejamento2024[[#This Row],[Valor unitário]]</f>
        <v>1750</v>
      </c>
      <c r="J329" s="83" t="s">
        <v>20</v>
      </c>
      <c r="K329" s="83" t="s">
        <v>478</v>
      </c>
      <c r="L329" s="86">
        <v>45292</v>
      </c>
      <c r="M329" s="83" t="s">
        <v>20</v>
      </c>
      <c r="N329" s="87" t="s">
        <v>955</v>
      </c>
      <c r="O329" s="83" t="s">
        <v>827</v>
      </c>
    </row>
    <row r="330" spans="1:15" ht="27">
      <c r="A330" s="81">
        <f t="shared" si="5"/>
        <v>329</v>
      </c>
      <c r="B330" s="82" t="s">
        <v>1182</v>
      </c>
      <c r="C330" s="83" t="s">
        <v>34</v>
      </c>
      <c r="D330" s="83" t="s">
        <v>35</v>
      </c>
      <c r="E330" s="84">
        <v>1500</v>
      </c>
      <c r="F330" s="85">
        <v>9.1199999999999992</v>
      </c>
      <c r="G330" s="83" t="s">
        <v>885</v>
      </c>
      <c r="H330" s="83" t="s">
        <v>1105</v>
      </c>
      <c r="I330" s="85">
        <f>Planejamento2024[[#This Row],[Qnt de Itens]]*Planejamento2024[[#This Row],[Valor unitário]]</f>
        <v>13679.999999999998</v>
      </c>
      <c r="J330" s="83" t="s">
        <v>20</v>
      </c>
      <c r="K330" s="83" t="s">
        <v>415</v>
      </c>
      <c r="L330" s="86">
        <v>45292</v>
      </c>
      <c r="M330" s="83" t="s">
        <v>20</v>
      </c>
      <c r="N330" s="87" t="s">
        <v>955</v>
      </c>
      <c r="O330" s="83" t="s">
        <v>827</v>
      </c>
    </row>
    <row r="331" spans="1:15" ht="27">
      <c r="A331" s="81">
        <f t="shared" si="5"/>
        <v>330</v>
      </c>
      <c r="B331" s="82" t="s">
        <v>1183</v>
      </c>
      <c r="C331" s="83" t="s">
        <v>34</v>
      </c>
      <c r="D331" s="83" t="s">
        <v>35</v>
      </c>
      <c r="E331" s="84">
        <v>1500</v>
      </c>
      <c r="F331" s="85">
        <v>11.06</v>
      </c>
      <c r="G331" s="83" t="s">
        <v>885</v>
      </c>
      <c r="H331" s="83" t="s">
        <v>1105</v>
      </c>
      <c r="I331" s="85">
        <f>Planejamento2024[[#This Row],[Qnt de Itens]]*Planejamento2024[[#This Row],[Valor unitário]]</f>
        <v>16590</v>
      </c>
      <c r="J331" s="83" t="s">
        <v>20</v>
      </c>
      <c r="K331" s="83" t="s">
        <v>415</v>
      </c>
      <c r="L331" s="86">
        <v>45292</v>
      </c>
      <c r="M331" s="83" t="s">
        <v>20</v>
      </c>
      <c r="N331" s="87" t="s">
        <v>955</v>
      </c>
      <c r="O331" s="83" t="s">
        <v>827</v>
      </c>
    </row>
    <row r="332" spans="1:15" ht="45">
      <c r="A332" s="81">
        <f t="shared" si="5"/>
        <v>331</v>
      </c>
      <c r="B332" s="82" t="s">
        <v>1184</v>
      </c>
      <c r="C332" s="83" t="s">
        <v>34</v>
      </c>
      <c r="D332" s="83" t="s">
        <v>35</v>
      </c>
      <c r="E332" s="84">
        <v>500</v>
      </c>
      <c r="F332" s="85">
        <v>23.51</v>
      </c>
      <c r="G332" s="83" t="s">
        <v>885</v>
      </c>
      <c r="H332" s="83" t="s">
        <v>1105</v>
      </c>
      <c r="I332" s="85">
        <f>Planejamento2024[[#This Row],[Qnt de Itens]]*Planejamento2024[[#This Row],[Valor unitário]]</f>
        <v>11755</v>
      </c>
      <c r="J332" s="83" t="s">
        <v>20</v>
      </c>
      <c r="K332" s="83" t="s">
        <v>415</v>
      </c>
      <c r="L332" s="86">
        <v>45292</v>
      </c>
      <c r="M332" s="83" t="s">
        <v>20</v>
      </c>
      <c r="N332" s="87" t="s">
        <v>955</v>
      </c>
      <c r="O332" s="83" t="s">
        <v>827</v>
      </c>
    </row>
    <row r="333" spans="1:15" ht="45">
      <c r="A333" s="81">
        <f t="shared" si="5"/>
        <v>332</v>
      </c>
      <c r="B333" s="82" t="s">
        <v>1185</v>
      </c>
      <c r="C333" s="83" t="s">
        <v>34</v>
      </c>
      <c r="D333" s="83" t="s">
        <v>35</v>
      </c>
      <c r="E333" s="84">
        <v>500</v>
      </c>
      <c r="F333" s="85">
        <v>23.51</v>
      </c>
      <c r="G333" s="83" t="s">
        <v>885</v>
      </c>
      <c r="H333" s="83" t="s">
        <v>1105</v>
      </c>
      <c r="I333" s="85">
        <f>Planejamento2024[[#This Row],[Qnt de Itens]]*Planejamento2024[[#This Row],[Valor unitário]]</f>
        <v>11755</v>
      </c>
      <c r="J333" s="83" t="s">
        <v>20</v>
      </c>
      <c r="K333" s="83" t="s">
        <v>415</v>
      </c>
      <c r="L333" s="86">
        <v>45292</v>
      </c>
      <c r="M333" s="83" t="s">
        <v>20</v>
      </c>
      <c r="N333" s="87" t="s">
        <v>955</v>
      </c>
      <c r="O333" s="83" t="s">
        <v>827</v>
      </c>
    </row>
    <row r="334" spans="1:15" ht="36">
      <c r="A334" s="81">
        <f t="shared" si="5"/>
        <v>333</v>
      </c>
      <c r="B334" s="82" t="s">
        <v>1186</v>
      </c>
      <c r="C334" s="83" t="s">
        <v>34</v>
      </c>
      <c r="D334" s="83" t="s">
        <v>35</v>
      </c>
      <c r="E334" s="84">
        <v>500</v>
      </c>
      <c r="F334" s="85">
        <v>124.46</v>
      </c>
      <c r="G334" s="83" t="s">
        <v>885</v>
      </c>
      <c r="H334" s="83" t="s">
        <v>1105</v>
      </c>
      <c r="I334" s="85">
        <f>Planejamento2024[[#This Row],[Qnt de Itens]]*Planejamento2024[[#This Row],[Valor unitário]]</f>
        <v>62230</v>
      </c>
      <c r="J334" s="83" t="s">
        <v>20</v>
      </c>
      <c r="K334" s="83" t="s">
        <v>492</v>
      </c>
      <c r="L334" s="86">
        <v>45292</v>
      </c>
      <c r="M334" s="83" t="s">
        <v>20</v>
      </c>
      <c r="N334" s="87" t="s">
        <v>955</v>
      </c>
      <c r="O334" s="83" t="s">
        <v>827</v>
      </c>
    </row>
    <row r="335" spans="1:15" ht="18">
      <c r="A335" s="81">
        <f t="shared" si="5"/>
        <v>334</v>
      </c>
      <c r="B335" s="82" t="s">
        <v>1187</v>
      </c>
      <c r="C335" s="83" t="s">
        <v>34</v>
      </c>
      <c r="D335" s="83" t="s">
        <v>35</v>
      </c>
      <c r="E335" s="84">
        <v>5000</v>
      </c>
      <c r="F335" s="85">
        <v>3.31</v>
      </c>
      <c r="G335" s="83" t="s">
        <v>885</v>
      </c>
      <c r="H335" s="83" t="s">
        <v>1105</v>
      </c>
      <c r="I335" s="85">
        <f>Planejamento2024[[#This Row],[Qnt de Itens]]*Planejamento2024[[#This Row],[Valor unitário]]</f>
        <v>16550</v>
      </c>
      <c r="J335" s="83" t="s">
        <v>20</v>
      </c>
      <c r="K335" s="83" t="s">
        <v>415</v>
      </c>
      <c r="L335" s="86">
        <v>45292</v>
      </c>
      <c r="M335" s="83" t="s">
        <v>20</v>
      </c>
      <c r="N335" s="87" t="s">
        <v>955</v>
      </c>
      <c r="O335" s="83" t="s">
        <v>827</v>
      </c>
    </row>
    <row r="336" spans="1:15" ht="18">
      <c r="A336" s="81">
        <f t="shared" si="5"/>
        <v>335</v>
      </c>
      <c r="B336" s="82" t="s">
        <v>1188</v>
      </c>
      <c r="C336" s="83" t="s">
        <v>34</v>
      </c>
      <c r="D336" s="83" t="s">
        <v>35</v>
      </c>
      <c r="E336" s="84">
        <v>100</v>
      </c>
      <c r="F336" s="85">
        <v>60.85</v>
      </c>
      <c r="G336" s="83" t="s">
        <v>885</v>
      </c>
      <c r="H336" s="83" t="s">
        <v>1105</v>
      </c>
      <c r="I336" s="85">
        <f>Planejamento2024[[#This Row],[Qnt de Itens]]*Planejamento2024[[#This Row],[Valor unitário]]</f>
        <v>6085</v>
      </c>
      <c r="J336" s="83" t="s">
        <v>20</v>
      </c>
      <c r="K336" s="83" t="s">
        <v>415</v>
      </c>
      <c r="L336" s="86">
        <v>45292</v>
      </c>
      <c r="M336" s="83" t="s">
        <v>20</v>
      </c>
      <c r="N336" s="87" t="s">
        <v>955</v>
      </c>
      <c r="O336" s="83" t="s">
        <v>827</v>
      </c>
    </row>
    <row r="337" spans="1:15" ht="27">
      <c r="A337" s="81">
        <f t="shared" si="5"/>
        <v>336</v>
      </c>
      <c r="B337" s="82" t="s">
        <v>1189</v>
      </c>
      <c r="C337" s="83" t="s">
        <v>34</v>
      </c>
      <c r="D337" s="83" t="s">
        <v>35</v>
      </c>
      <c r="E337" s="84">
        <v>400</v>
      </c>
      <c r="F337" s="85">
        <v>4.1500000000000004</v>
      </c>
      <c r="G337" s="83" t="s">
        <v>510</v>
      </c>
      <c r="H337" s="83" t="s">
        <v>1105</v>
      </c>
      <c r="I337" s="85">
        <f>Planejamento2024[[#This Row],[Qnt de Itens]]*Planejamento2024[[#This Row],[Valor unitário]]</f>
        <v>1660.0000000000002</v>
      </c>
      <c r="J337" s="83" t="s">
        <v>20</v>
      </c>
      <c r="K337" s="83" t="s">
        <v>478</v>
      </c>
      <c r="L337" s="86">
        <v>45292</v>
      </c>
      <c r="M337" s="83" t="s">
        <v>20</v>
      </c>
      <c r="N337" s="87" t="s">
        <v>955</v>
      </c>
      <c r="O337" s="83" t="s">
        <v>827</v>
      </c>
    </row>
    <row r="338" spans="1:15" ht="36">
      <c r="A338" s="81">
        <f t="shared" si="5"/>
        <v>337</v>
      </c>
      <c r="B338" s="82" t="s">
        <v>1190</v>
      </c>
      <c r="C338" s="83" t="s">
        <v>34</v>
      </c>
      <c r="D338" s="83" t="s">
        <v>35</v>
      </c>
      <c r="E338" s="84">
        <v>200</v>
      </c>
      <c r="F338" s="85">
        <v>33.19</v>
      </c>
      <c r="G338" s="83" t="s">
        <v>885</v>
      </c>
      <c r="H338" s="83" t="s">
        <v>1105</v>
      </c>
      <c r="I338" s="85">
        <f>Planejamento2024[[#This Row],[Qnt de Itens]]*Planejamento2024[[#This Row],[Valor unitário]]</f>
        <v>6638</v>
      </c>
      <c r="J338" s="83" t="s">
        <v>20</v>
      </c>
      <c r="K338" s="83" t="s">
        <v>492</v>
      </c>
      <c r="L338" s="86">
        <v>45292</v>
      </c>
      <c r="M338" s="83" t="s">
        <v>20</v>
      </c>
      <c r="N338" s="87" t="s">
        <v>955</v>
      </c>
      <c r="O338" s="83" t="s">
        <v>827</v>
      </c>
    </row>
    <row r="339" spans="1:15" ht="18">
      <c r="A339" s="81">
        <f t="shared" si="5"/>
        <v>338</v>
      </c>
      <c r="B339" s="82" t="s">
        <v>1191</v>
      </c>
      <c r="C339" s="83" t="s">
        <v>34</v>
      </c>
      <c r="D339" s="83" t="s">
        <v>35</v>
      </c>
      <c r="E339" s="84">
        <v>1000</v>
      </c>
      <c r="F339" s="85">
        <v>4.1500000000000004</v>
      </c>
      <c r="G339" s="83" t="s">
        <v>885</v>
      </c>
      <c r="H339" s="83" t="s">
        <v>1105</v>
      </c>
      <c r="I339" s="85">
        <f>Planejamento2024[[#This Row],[Qnt de Itens]]*Planejamento2024[[#This Row],[Valor unitário]]</f>
        <v>4150</v>
      </c>
      <c r="J339" s="83" t="s">
        <v>20</v>
      </c>
      <c r="K339" s="83" t="s">
        <v>492</v>
      </c>
      <c r="L339" s="86">
        <v>45292</v>
      </c>
      <c r="M339" s="83" t="s">
        <v>20</v>
      </c>
      <c r="N339" s="87" t="s">
        <v>955</v>
      </c>
      <c r="O339" s="83" t="s">
        <v>827</v>
      </c>
    </row>
    <row r="340" spans="1:15" ht="18">
      <c r="A340" s="81">
        <f t="shared" si="5"/>
        <v>339</v>
      </c>
      <c r="B340" s="82" t="s">
        <v>1192</v>
      </c>
      <c r="C340" s="83" t="s">
        <v>34</v>
      </c>
      <c r="D340" s="83" t="s">
        <v>35</v>
      </c>
      <c r="E340" s="84">
        <v>1500</v>
      </c>
      <c r="F340" s="85">
        <v>3.62</v>
      </c>
      <c r="G340" s="83" t="s">
        <v>885</v>
      </c>
      <c r="H340" s="83" t="s">
        <v>1105</v>
      </c>
      <c r="I340" s="85">
        <f>Planejamento2024[[#This Row],[Qnt de Itens]]*Planejamento2024[[#This Row],[Valor unitário]]</f>
        <v>5430</v>
      </c>
      <c r="J340" s="83" t="s">
        <v>20</v>
      </c>
      <c r="K340" s="83" t="s">
        <v>415</v>
      </c>
      <c r="L340" s="86">
        <v>45292</v>
      </c>
      <c r="M340" s="83" t="s">
        <v>20</v>
      </c>
      <c r="N340" s="87" t="s">
        <v>955</v>
      </c>
      <c r="O340" s="83" t="s">
        <v>827</v>
      </c>
    </row>
    <row r="341" spans="1:15" ht="18">
      <c r="A341" s="81">
        <f t="shared" si="5"/>
        <v>340</v>
      </c>
      <c r="B341" s="82" t="s">
        <v>1193</v>
      </c>
      <c r="C341" s="83" t="s">
        <v>34</v>
      </c>
      <c r="D341" s="83" t="s">
        <v>35</v>
      </c>
      <c r="E341" s="84">
        <v>1500</v>
      </c>
      <c r="F341" s="85">
        <v>3.62</v>
      </c>
      <c r="G341" s="83" t="s">
        <v>885</v>
      </c>
      <c r="H341" s="83" t="s">
        <v>1105</v>
      </c>
      <c r="I341" s="85">
        <f>Planejamento2024[[#This Row],[Qnt de Itens]]*Planejamento2024[[#This Row],[Valor unitário]]</f>
        <v>5430</v>
      </c>
      <c r="J341" s="83" t="s">
        <v>20</v>
      </c>
      <c r="K341" s="83" t="s">
        <v>415</v>
      </c>
      <c r="L341" s="86">
        <v>45292</v>
      </c>
      <c r="M341" s="83" t="s">
        <v>20</v>
      </c>
      <c r="N341" s="87" t="s">
        <v>955</v>
      </c>
      <c r="O341" s="83" t="s">
        <v>827</v>
      </c>
    </row>
    <row r="342" spans="1:15" ht="18">
      <c r="A342" s="81">
        <f t="shared" si="5"/>
        <v>341</v>
      </c>
      <c r="B342" s="82" t="s">
        <v>1194</v>
      </c>
      <c r="C342" s="83" t="s">
        <v>34</v>
      </c>
      <c r="D342" s="83" t="s">
        <v>35</v>
      </c>
      <c r="E342" s="84">
        <v>1500</v>
      </c>
      <c r="F342" s="85">
        <v>3.62</v>
      </c>
      <c r="G342" s="83" t="s">
        <v>885</v>
      </c>
      <c r="H342" s="83" t="s">
        <v>1105</v>
      </c>
      <c r="I342" s="85">
        <f>Planejamento2024[[#This Row],[Qnt de Itens]]*Planejamento2024[[#This Row],[Valor unitário]]</f>
        <v>5430</v>
      </c>
      <c r="J342" s="83" t="s">
        <v>20</v>
      </c>
      <c r="K342" s="83" t="s">
        <v>415</v>
      </c>
      <c r="L342" s="86">
        <v>45292</v>
      </c>
      <c r="M342" s="83" t="s">
        <v>20</v>
      </c>
      <c r="N342" s="87" t="s">
        <v>955</v>
      </c>
      <c r="O342" s="83" t="s">
        <v>827</v>
      </c>
    </row>
    <row r="343" spans="1:15" ht="18">
      <c r="A343" s="81">
        <f t="shared" si="5"/>
        <v>342</v>
      </c>
      <c r="B343" s="82" t="s">
        <v>1195</v>
      </c>
      <c r="C343" s="83" t="s">
        <v>34</v>
      </c>
      <c r="D343" s="83" t="s">
        <v>35</v>
      </c>
      <c r="E343" s="84">
        <v>1500</v>
      </c>
      <c r="F343" s="85">
        <v>3.62</v>
      </c>
      <c r="G343" s="83" t="s">
        <v>885</v>
      </c>
      <c r="H343" s="83" t="s">
        <v>1105</v>
      </c>
      <c r="I343" s="85">
        <f>Planejamento2024[[#This Row],[Qnt de Itens]]*Planejamento2024[[#This Row],[Valor unitário]]</f>
        <v>5430</v>
      </c>
      <c r="J343" s="83" t="s">
        <v>20</v>
      </c>
      <c r="K343" s="83" t="s">
        <v>415</v>
      </c>
      <c r="L343" s="86">
        <v>45292</v>
      </c>
      <c r="M343" s="83" t="s">
        <v>20</v>
      </c>
      <c r="N343" s="87" t="s">
        <v>955</v>
      </c>
      <c r="O343" s="83" t="s">
        <v>827</v>
      </c>
    </row>
    <row r="344" spans="1:15" ht="27">
      <c r="A344" s="81">
        <f t="shared" si="5"/>
        <v>343</v>
      </c>
      <c r="B344" s="82" t="s">
        <v>1196</v>
      </c>
      <c r="C344" s="83" t="s">
        <v>34</v>
      </c>
      <c r="D344" s="83" t="s">
        <v>35</v>
      </c>
      <c r="E344" s="84">
        <v>250</v>
      </c>
      <c r="F344" s="85">
        <v>82.97</v>
      </c>
      <c r="G344" s="83" t="s">
        <v>885</v>
      </c>
      <c r="H344" s="83" t="s">
        <v>1105</v>
      </c>
      <c r="I344" s="85">
        <f>Planejamento2024[[#This Row],[Qnt de Itens]]*Planejamento2024[[#This Row],[Valor unitário]]</f>
        <v>20742.5</v>
      </c>
      <c r="J344" s="83" t="s">
        <v>20</v>
      </c>
      <c r="K344" s="83" t="s">
        <v>478</v>
      </c>
      <c r="L344" s="86">
        <v>45292</v>
      </c>
      <c r="M344" s="83" t="s">
        <v>20</v>
      </c>
      <c r="N344" s="87" t="s">
        <v>955</v>
      </c>
      <c r="O344" s="83" t="s">
        <v>827</v>
      </c>
    </row>
    <row r="345" spans="1:15" ht="36">
      <c r="A345" s="81">
        <f t="shared" si="5"/>
        <v>344</v>
      </c>
      <c r="B345" s="92" t="s">
        <v>1197</v>
      </c>
      <c r="C345" s="83" t="s">
        <v>34</v>
      </c>
      <c r="D345" s="83" t="s">
        <v>35</v>
      </c>
      <c r="E345" s="93">
        <v>300</v>
      </c>
      <c r="F345" s="94">
        <v>63.01</v>
      </c>
      <c r="G345" s="95" t="s">
        <v>1198</v>
      </c>
      <c r="H345" s="83" t="s">
        <v>1105</v>
      </c>
      <c r="I345" s="85">
        <f>Planejamento2024[[#This Row],[Qnt de Itens]]*Planejamento2024[[#This Row],[Valor unitário]]</f>
        <v>18903</v>
      </c>
      <c r="J345" s="83" t="s">
        <v>20</v>
      </c>
      <c r="K345" s="83" t="s">
        <v>478</v>
      </c>
      <c r="L345" s="86">
        <v>45292</v>
      </c>
      <c r="M345" s="83" t="s">
        <v>20</v>
      </c>
      <c r="N345" s="87"/>
      <c r="O345" s="83" t="s">
        <v>827</v>
      </c>
    </row>
    <row r="346" spans="1:15" ht="36">
      <c r="A346" s="81">
        <f t="shared" si="5"/>
        <v>345</v>
      </c>
      <c r="B346" s="82" t="s">
        <v>1199</v>
      </c>
      <c r="C346" s="83" t="s">
        <v>34</v>
      </c>
      <c r="D346" s="83" t="s">
        <v>35</v>
      </c>
      <c r="E346" s="84">
        <v>350</v>
      </c>
      <c r="F346" s="85">
        <v>248.91</v>
      </c>
      <c r="G346" s="83" t="s">
        <v>890</v>
      </c>
      <c r="H346" s="83" t="s">
        <v>1105</v>
      </c>
      <c r="I346" s="85">
        <f>Planejamento2024[[#This Row],[Qnt de Itens]]*Planejamento2024[[#This Row],[Valor unitário]]</f>
        <v>87118.5</v>
      </c>
      <c r="J346" s="83" t="s">
        <v>20</v>
      </c>
      <c r="K346" s="83" t="s">
        <v>492</v>
      </c>
      <c r="L346" s="86">
        <v>45292</v>
      </c>
      <c r="M346" s="83" t="s">
        <v>20</v>
      </c>
      <c r="N346" s="87" t="s">
        <v>955</v>
      </c>
      <c r="O346" s="83" t="s">
        <v>827</v>
      </c>
    </row>
    <row r="347" spans="1:15" ht="18">
      <c r="A347" s="81">
        <f t="shared" si="5"/>
        <v>346</v>
      </c>
      <c r="B347" s="82" t="s">
        <v>1200</v>
      </c>
      <c r="C347" s="83" t="s">
        <v>34</v>
      </c>
      <c r="D347" s="83" t="s">
        <v>35</v>
      </c>
      <c r="E347" s="84">
        <v>100</v>
      </c>
      <c r="F347" s="85">
        <v>16.59</v>
      </c>
      <c r="G347" s="83" t="s">
        <v>885</v>
      </c>
      <c r="H347" s="83" t="s">
        <v>1105</v>
      </c>
      <c r="I347" s="85">
        <f>Planejamento2024[[#This Row],[Qnt de Itens]]*Planejamento2024[[#This Row],[Valor unitário]]</f>
        <v>1659</v>
      </c>
      <c r="J347" s="83" t="s">
        <v>20</v>
      </c>
      <c r="K347" s="83" t="s">
        <v>492</v>
      </c>
      <c r="L347" s="86">
        <v>45292</v>
      </c>
      <c r="M347" s="83" t="s">
        <v>20</v>
      </c>
      <c r="N347" s="87" t="s">
        <v>955</v>
      </c>
      <c r="O347" s="83" t="s">
        <v>827</v>
      </c>
    </row>
    <row r="348" spans="1:15" ht="36">
      <c r="A348" s="81">
        <f t="shared" si="5"/>
        <v>347</v>
      </c>
      <c r="B348" s="82" t="s">
        <v>1201</v>
      </c>
      <c r="C348" s="83" t="s">
        <v>34</v>
      </c>
      <c r="D348" s="83" t="s">
        <v>35</v>
      </c>
      <c r="E348" s="84">
        <v>100</v>
      </c>
      <c r="F348" s="85">
        <v>6.91</v>
      </c>
      <c r="G348" s="83" t="s">
        <v>885</v>
      </c>
      <c r="H348" s="83" t="s">
        <v>1105</v>
      </c>
      <c r="I348" s="85">
        <f>Planejamento2024[[#This Row],[Qnt de Itens]]*Planejamento2024[[#This Row],[Valor unitário]]</f>
        <v>691</v>
      </c>
      <c r="J348" s="83" t="s">
        <v>20</v>
      </c>
      <c r="K348" s="83" t="s">
        <v>492</v>
      </c>
      <c r="L348" s="86">
        <v>45292</v>
      </c>
      <c r="M348" s="83" t="s">
        <v>20</v>
      </c>
      <c r="N348" s="87" t="s">
        <v>955</v>
      </c>
      <c r="O348" s="83" t="s">
        <v>827</v>
      </c>
    </row>
    <row r="349" spans="1:15" ht="36">
      <c r="A349" s="81">
        <f t="shared" si="5"/>
        <v>348</v>
      </c>
      <c r="B349" s="82" t="s">
        <v>1202</v>
      </c>
      <c r="C349" s="83" t="s">
        <v>34</v>
      </c>
      <c r="D349" s="83" t="s">
        <v>35</v>
      </c>
      <c r="E349" s="84">
        <v>200</v>
      </c>
      <c r="F349" s="85">
        <v>6.36</v>
      </c>
      <c r="G349" s="83" t="s">
        <v>885</v>
      </c>
      <c r="H349" s="83" t="s">
        <v>1105</v>
      </c>
      <c r="I349" s="85">
        <f>Planejamento2024[[#This Row],[Qnt de Itens]]*Planejamento2024[[#This Row],[Valor unitário]]</f>
        <v>1272</v>
      </c>
      <c r="J349" s="83" t="s">
        <v>20</v>
      </c>
      <c r="K349" s="83" t="s">
        <v>492</v>
      </c>
      <c r="L349" s="86">
        <v>45292</v>
      </c>
      <c r="M349" s="83" t="s">
        <v>20</v>
      </c>
      <c r="N349" s="87" t="s">
        <v>955</v>
      </c>
      <c r="O349" s="83" t="s">
        <v>827</v>
      </c>
    </row>
    <row r="350" spans="1:15" ht="36">
      <c r="A350" s="81">
        <f t="shared" si="5"/>
        <v>349</v>
      </c>
      <c r="B350" s="82" t="s">
        <v>1203</v>
      </c>
      <c r="C350" s="83" t="s">
        <v>34</v>
      </c>
      <c r="D350" s="83" t="s">
        <v>35</v>
      </c>
      <c r="E350" s="84">
        <v>50</v>
      </c>
      <c r="F350" s="85">
        <v>235.09</v>
      </c>
      <c r="G350" s="83" t="s">
        <v>885</v>
      </c>
      <c r="H350" s="83" t="s">
        <v>1105</v>
      </c>
      <c r="I350" s="85">
        <f>Planejamento2024[[#This Row],[Qnt de Itens]]*Planejamento2024[[#This Row],[Valor unitário]]</f>
        <v>11754.5</v>
      </c>
      <c r="J350" s="83" t="s">
        <v>20</v>
      </c>
      <c r="K350" s="83" t="s">
        <v>478</v>
      </c>
      <c r="L350" s="86">
        <v>45292</v>
      </c>
      <c r="M350" s="83" t="s">
        <v>20</v>
      </c>
      <c r="N350" s="87" t="s">
        <v>955</v>
      </c>
      <c r="O350" s="83" t="s">
        <v>827</v>
      </c>
    </row>
    <row r="351" spans="1:15" ht="36">
      <c r="A351" s="81">
        <f t="shared" si="5"/>
        <v>350</v>
      </c>
      <c r="B351" s="82" t="s">
        <v>1204</v>
      </c>
      <c r="C351" s="83" t="s">
        <v>34</v>
      </c>
      <c r="D351" s="83" t="s">
        <v>35</v>
      </c>
      <c r="E351" s="84">
        <v>100</v>
      </c>
      <c r="F351" s="85">
        <v>248.91</v>
      </c>
      <c r="G351" s="83" t="s">
        <v>885</v>
      </c>
      <c r="H351" s="83" t="s">
        <v>1105</v>
      </c>
      <c r="I351" s="85">
        <f>Planejamento2024[[#This Row],[Qnt de Itens]]*Planejamento2024[[#This Row],[Valor unitário]]</f>
        <v>24891</v>
      </c>
      <c r="J351" s="83" t="s">
        <v>20</v>
      </c>
      <c r="K351" s="83" t="s">
        <v>478</v>
      </c>
      <c r="L351" s="86">
        <v>45292</v>
      </c>
      <c r="M351" s="83" t="s">
        <v>20</v>
      </c>
      <c r="N351" s="87" t="s">
        <v>955</v>
      </c>
      <c r="O351" s="83" t="s">
        <v>827</v>
      </c>
    </row>
    <row r="352" spans="1:15" ht="18">
      <c r="A352" s="81">
        <f t="shared" si="5"/>
        <v>351</v>
      </c>
      <c r="B352" s="82" t="s">
        <v>1205</v>
      </c>
      <c r="C352" s="83" t="s">
        <v>34</v>
      </c>
      <c r="D352" s="83" t="s">
        <v>35</v>
      </c>
      <c r="E352" s="84">
        <v>4000</v>
      </c>
      <c r="F352" s="85">
        <v>2.21</v>
      </c>
      <c r="G352" s="83" t="s">
        <v>885</v>
      </c>
      <c r="H352" s="83" t="s">
        <v>1105</v>
      </c>
      <c r="I352" s="85">
        <f>Planejamento2024[[#This Row],[Qnt de Itens]]*Planejamento2024[[#This Row],[Valor unitário]]</f>
        <v>8840</v>
      </c>
      <c r="J352" s="83" t="s">
        <v>20</v>
      </c>
      <c r="K352" s="83" t="s">
        <v>415</v>
      </c>
      <c r="L352" s="86">
        <v>45292</v>
      </c>
      <c r="M352" s="83" t="s">
        <v>20</v>
      </c>
      <c r="N352" s="87" t="s">
        <v>955</v>
      </c>
      <c r="O352" s="83" t="s">
        <v>827</v>
      </c>
    </row>
    <row r="353" spans="1:15" ht="36">
      <c r="A353" s="81">
        <f t="shared" si="5"/>
        <v>352</v>
      </c>
      <c r="B353" s="82" t="s">
        <v>1206</v>
      </c>
      <c r="C353" s="83" t="s">
        <v>34</v>
      </c>
      <c r="D353" s="83" t="s">
        <v>35</v>
      </c>
      <c r="E353" s="84">
        <v>50</v>
      </c>
      <c r="F353" s="85">
        <v>67.38</v>
      </c>
      <c r="G353" s="83" t="s">
        <v>885</v>
      </c>
      <c r="H353" s="83" t="s">
        <v>1105</v>
      </c>
      <c r="I353" s="85">
        <f>Planejamento2024[[#This Row],[Qnt de Itens]]*Planejamento2024[[#This Row],[Valor unitário]]</f>
        <v>3369</v>
      </c>
      <c r="J353" s="83" t="s">
        <v>20</v>
      </c>
      <c r="K353" s="83" t="s">
        <v>478</v>
      </c>
      <c r="L353" s="86">
        <v>45292</v>
      </c>
      <c r="M353" s="83" t="s">
        <v>20</v>
      </c>
      <c r="N353" s="87" t="s">
        <v>955</v>
      </c>
      <c r="O353" s="83" t="s">
        <v>827</v>
      </c>
    </row>
    <row r="354" spans="1:15" ht="36">
      <c r="A354" s="81">
        <f t="shared" si="5"/>
        <v>353</v>
      </c>
      <c r="B354" s="82" t="s">
        <v>1207</v>
      </c>
      <c r="C354" s="83" t="s">
        <v>34</v>
      </c>
      <c r="D354" s="83" t="s">
        <v>35</v>
      </c>
      <c r="E354" s="84">
        <v>150</v>
      </c>
      <c r="F354" s="85">
        <v>46.33</v>
      </c>
      <c r="G354" s="83" t="s">
        <v>885</v>
      </c>
      <c r="H354" s="83" t="s">
        <v>1105</v>
      </c>
      <c r="I354" s="85">
        <f>Planejamento2024[[#This Row],[Qnt de Itens]]*Planejamento2024[[#This Row],[Valor unitário]]</f>
        <v>6949.5</v>
      </c>
      <c r="J354" s="83" t="s">
        <v>20</v>
      </c>
      <c r="K354" s="83" t="s">
        <v>478</v>
      </c>
      <c r="L354" s="86">
        <v>45292</v>
      </c>
      <c r="M354" s="83" t="s">
        <v>20</v>
      </c>
      <c r="N354" s="87" t="s">
        <v>955</v>
      </c>
      <c r="O354" s="83" t="s">
        <v>827</v>
      </c>
    </row>
    <row r="355" spans="1:15" ht="27">
      <c r="A355" s="81">
        <f t="shared" si="5"/>
        <v>354</v>
      </c>
      <c r="B355" s="82" t="s">
        <v>1208</v>
      </c>
      <c r="C355" s="83" t="s">
        <v>34</v>
      </c>
      <c r="D355" s="83" t="s">
        <v>35</v>
      </c>
      <c r="E355" s="84">
        <v>200</v>
      </c>
      <c r="F355" s="85">
        <v>4.6500000000000004</v>
      </c>
      <c r="G355" s="83" t="s">
        <v>885</v>
      </c>
      <c r="H355" s="83" t="s">
        <v>1105</v>
      </c>
      <c r="I355" s="85">
        <f>Planejamento2024[[#This Row],[Qnt de Itens]]*Planejamento2024[[#This Row],[Valor unitário]]</f>
        <v>930.00000000000011</v>
      </c>
      <c r="J355" s="83" t="s">
        <v>20</v>
      </c>
      <c r="K355" s="83" t="s">
        <v>492</v>
      </c>
      <c r="L355" s="86">
        <v>45292</v>
      </c>
      <c r="M355" s="83" t="s">
        <v>20</v>
      </c>
      <c r="N355" s="87" t="s">
        <v>955</v>
      </c>
      <c r="O355" s="83" t="s">
        <v>827</v>
      </c>
    </row>
    <row r="356" spans="1:15" ht="27">
      <c r="A356" s="81">
        <f t="shared" si="5"/>
        <v>355</v>
      </c>
      <c r="B356" s="82" t="s">
        <v>1209</v>
      </c>
      <c r="C356" s="83" t="s">
        <v>34</v>
      </c>
      <c r="D356" s="83" t="s">
        <v>35</v>
      </c>
      <c r="E356" s="84">
        <v>200</v>
      </c>
      <c r="F356" s="85">
        <v>4.6500000000000004</v>
      </c>
      <c r="G356" s="83" t="s">
        <v>885</v>
      </c>
      <c r="H356" s="83" t="s">
        <v>1105</v>
      </c>
      <c r="I356" s="85">
        <f>Planejamento2024[[#This Row],[Qnt de Itens]]*Planejamento2024[[#This Row],[Valor unitário]]</f>
        <v>930.00000000000011</v>
      </c>
      <c r="J356" s="83" t="s">
        <v>20</v>
      </c>
      <c r="K356" s="83" t="s">
        <v>492</v>
      </c>
      <c r="L356" s="86">
        <v>45292</v>
      </c>
      <c r="M356" s="83" t="s">
        <v>20</v>
      </c>
      <c r="N356" s="87" t="s">
        <v>955</v>
      </c>
      <c r="O356" s="83" t="s">
        <v>827</v>
      </c>
    </row>
    <row r="357" spans="1:15" ht="27">
      <c r="A357" s="81">
        <f t="shared" si="5"/>
        <v>356</v>
      </c>
      <c r="B357" s="82" t="s">
        <v>1210</v>
      </c>
      <c r="C357" s="83" t="s">
        <v>34</v>
      </c>
      <c r="D357" s="83" t="s">
        <v>35</v>
      </c>
      <c r="E357" s="84">
        <v>200</v>
      </c>
      <c r="F357" s="85">
        <v>4.6500000000000004</v>
      </c>
      <c r="G357" s="83" t="s">
        <v>885</v>
      </c>
      <c r="H357" s="83" t="s">
        <v>1105</v>
      </c>
      <c r="I357" s="85">
        <f>Planejamento2024[[#This Row],[Qnt de Itens]]*Planejamento2024[[#This Row],[Valor unitário]]</f>
        <v>930.00000000000011</v>
      </c>
      <c r="J357" s="83" t="s">
        <v>20</v>
      </c>
      <c r="K357" s="83" t="s">
        <v>492</v>
      </c>
      <c r="L357" s="86">
        <v>45292</v>
      </c>
      <c r="M357" s="83" t="s">
        <v>20</v>
      </c>
      <c r="N357" s="87" t="s">
        <v>955</v>
      </c>
      <c r="O357" s="83" t="s">
        <v>827</v>
      </c>
    </row>
    <row r="358" spans="1:15" ht="36">
      <c r="A358" s="81">
        <f t="shared" si="5"/>
        <v>357</v>
      </c>
      <c r="B358" s="82" t="s">
        <v>1211</v>
      </c>
      <c r="C358" s="83" t="s">
        <v>25</v>
      </c>
      <c r="D358" s="83" t="s">
        <v>17</v>
      </c>
      <c r="E358" s="84">
        <v>3</v>
      </c>
      <c r="F358" s="85">
        <v>86.67</v>
      </c>
      <c r="G358" s="83" t="s">
        <v>885</v>
      </c>
      <c r="H358" s="83" t="s">
        <v>1212</v>
      </c>
      <c r="I358" s="85">
        <f>Planejamento2024[[#This Row],[Qnt de Itens]]*Planejamento2024[[#This Row],[Valor unitário]]</f>
        <v>260.01</v>
      </c>
      <c r="J358" s="83" t="s">
        <v>20</v>
      </c>
      <c r="K358" s="83" t="s">
        <v>492</v>
      </c>
      <c r="L358" s="86">
        <v>45292</v>
      </c>
      <c r="M358" s="83" t="s">
        <v>38</v>
      </c>
      <c r="N358" s="87" t="s">
        <v>1213</v>
      </c>
      <c r="O358" s="83" t="s">
        <v>827</v>
      </c>
    </row>
    <row r="359" spans="1:15" ht="36">
      <c r="A359" s="81">
        <f t="shared" si="5"/>
        <v>358</v>
      </c>
      <c r="B359" s="82" t="s">
        <v>1214</v>
      </c>
      <c r="C359" s="83" t="s">
        <v>25</v>
      </c>
      <c r="D359" s="83" t="s">
        <v>17</v>
      </c>
      <c r="E359" s="84">
        <v>3</v>
      </c>
      <c r="F359" s="85">
        <v>80.5</v>
      </c>
      <c r="G359" s="83" t="s">
        <v>885</v>
      </c>
      <c r="H359" s="83" t="s">
        <v>1212</v>
      </c>
      <c r="I359" s="85">
        <f>Planejamento2024[[#This Row],[Qnt de Itens]]*Planejamento2024[[#This Row],[Valor unitário]]</f>
        <v>241.5</v>
      </c>
      <c r="J359" s="83" t="s">
        <v>20</v>
      </c>
      <c r="K359" s="83" t="s">
        <v>492</v>
      </c>
      <c r="L359" s="86">
        <v>45292</v>
      </c>
      <c r="M359" s="83" t="s">
        <v>38</v>
      </c>
      <c r="N359" s="87" t="s">
        <v>1213</v>
      </c>
      <c r="O359" s="83" t="s">
        <v>827</v>
      </c>
    </row>
    <row r="360" spans="1:15" ht="36">
      <c r="A360" s="81">
        <f t="shared" si="5"/>
        <v>359</v>
      </c>
      <c r="B360" s="82" t="s">
        <v>1215</v>
      </c>
      <c r="C360" s="83" t="s">
        <v>25</v>
      </c>
      <c r="D360" s="83" t="s">
        <v>17</v>
      </c>
      <c r="E360" s="84">
        <v>3</v>
      </c>
      <c r="F360" s="85">
        <v>102.33</v>
      </c>
      <c r="G360" s="83" t="s">
        <v>885</v>
      </c>
      <c r="H360" s="83" t="s">
        <v>1212</v>
      </c>
      <c r="I360" s="85">
        <f>Planejamento2024[[#This Row],[Qnt de Itens]]*Planejamento2024[[#This Row],[Valor unitário]]</f>
        <v>306.99</v>
      </c>
      <c r="J360" s="83" t="s">
        <v>20</v>
      </c>
      <c r="K360" s="83" t="s">
        <v>492</v>
      </c>
      <c r="L360" s="86">
        <v>45292</v>
      </c>
      <c r="M360" s="83" t="s">
        <v>38</v>
      </c>
      <c r="N360" s="87" t="s">
        <v>1213</v>
      </c>
      <c r="O360" s="83" t="s">
        <v>827</v>
      </c>
    </row>
    <row r="361" spans="1:15" ht="36">
      <c r="A361" s="81">
        <f t="shared" si="5"/>
        <v>360</v>
      </c>
      <c r="B361" s="82" t="s">
        <v>1216</v>
      </c>
      <c r="C361" s="83" t="s">
        <v>25</v>
      </c>
      <c r="D361" s="83" t="s">
        <v>17</v>
      </c>
      <c r="E361" s="84">
        <v>5</v>
      </c>
      <c r="F361" s="85">
        <v>96.33</v>
      </c>
      <c r="G361" s="83" t="s">
        <v>885</v>
      </c>
      <c r="H361" s="83" t="s">
        <v>1212</v>
      </c>
      <c r="I361" s="85">
        <f>Planejamento2024[[#This Row],[Qnt de Itens]]*Planejamento2024[[#This Row],[Valor unitário]]</f>
        <v>481.65</v>
      </c>
      <c r="J361" s="83" t="s">
        <v>20</v>
      </c>
      <c r="K361" s="83" t="s">
        <v>492</v>
      </c>
      <c r="L361" s="86">
        <v>45292</v>
      </c>
      <c r="M361" s="83" t="s">
        <v>38</v>
      </c>
      <c r="N361" s="87" t="s">
        <v>1213</v>
      </c>
      <c r="O361" s="83" t="s">
        <v>827</v>
      </c>
    </row>
    <row r="362" spans="1:15" ht="36">
      <c r="A362" s="81">
        <f t="shared" si="5"/>
        <v>361</v>
      </c>
      <c r="B362" s="82" t="s">
        <v>1217</v>
      </c>
      <c r="C362" s="83" t="s">
        <v>25</v>
      </c>
      <c r="D362" s="83" t="s">
        <v>17</v>
      </c>
      <c r="E362" s="84">
        <v>2</v>
      </c>
      <c r="F362" s="85">
        <v>110</v>
      </c>
      <c r="G362" s="83" t="s">
        <v>885</v>
      </c>
      <c r="H362" s="83" t="s">
        <v>1212</v>
      </c>
      <c r="I362" s="85">
        <f>Planejamento2024[[#This Row],[Qnt de Itens]]*Planejamento2024[[#This Row],[Valor unitário]]</f>
        <v>220</v>
      </c>
      <c r="J362" s="83" t="s">
        <v>20</v>
      </c>
      <c r="K362" s="83" t="s">
        <v>492</v>
      </c>
      <c r="L362" s="86">
        <v>45292</v>
      </c>
      <c r="M362" s="83" t="s">
        <v>38</v>
      </c>
      <c r="N362" s="87" t="s">
        <v>1213</v>
      </c>
      <c r="O362" s="83" t="s">
        <v>827</v>
      </c>
    </row>
    <row r="363" spans="1:15" ht="36">
      <c r="A363" s="81">
        <f t="shared" si="5"/>
        <v>362</v>
      </c>
      <c r="B363" s="82" t="s">
        <v>1218</v>
      </c>
      <c r="C363" s="83" t="s">
        <v>25</v>
      </c>
      <c r="D363" s="83" t="s">
        <v>17</v>
      </c>
      <c r="E363" s="84">
        <v>45</v>
      </c>
      <c r="F363" s="85">
        <v>96.67</v>
      </c>
      <c r="G363" s="83" t="s">
        <v>885</v>
      </c>
      <c r="H363" s="83" t="s">
        <v>1212</v>
      </c>
      <c r="I363" s="85">
        <f>Planejamento2024[[#This Row],[Qnt de Itens]]*Planejamento2024[[#This Row],[Valor unitário]]</f>
        <v>4350.1499999999996</v>
      </c>
      <c r="J363" s="83" t="s">
        <v>20</v>
      </c>
      <c r="K363" s="83" t="s">
        <v>492</v>
      </c>
      <c r="L363" s="86">
        <v>45292</v>
      </c>
      <c r="M363" s="83" t="s">
        <v>38</v>
      </c>
      <c r="N363" s="87" t="s">
        <v>1213</v>
      </c>
      <c r="O363" s="83" t="s">
        <v>827</v>
      </c>
    </row>
    <row r="364" spans="1:15" ht="36">
      <c r="A364" s="81">
        <f t="shared" si="5"/>
        <v>363</v>
      </c>
      <c r="B364" s="82" t="s">
        <v>1219</v>
      </c>
      <c r="C364" s="83" t="s">
        <v>25</v>
      </c>
      <c r="D364" s="83" t="s">
        <v>17</v>
      </c>
      <c r="E364" s="84">
        <v>9600</v>
      </c>
      <c r="F364" s="85">
        <v>1.38</v>
      </c>
      <c r="G364" s="83" t="s">
        <v>1059</v>
      </c>
      <c r="H364" s="83" t="s">
        <v>1212</v>
      </c>
      <c r="I364" s="85">
        <f>Planejamento2024[[#This Row],[Qnt de Itens]]*Planejamento2024[[#This Row],[Valor unitário]]</f>
        <v>13247.999999999998</v>
      </c>
      <c r="J364" s="83" t="s">
        <v>20</v>
      </c>
      <c r="K364" s="83" t="s">
        <v>492</v>
      </c>
      <c r="L364" s="86">
        <v>45292</v>
      </c>
      <c r="M364" s="83" t="s">
        <v>38</v>
      </c>
      <c r="N364" s="87" t="s">
        <v>1213</v>
      </c>
      <c r="O364" s="83" t="s">
        <v>827</v>
      </c>
    </row>
    <row r="365" spans="1:15" ht="18">
      <c r="A365" s="81">
        <f t="shared" si="5"/>
        <v>364</v>
      </c>
      <c r="B365" s="82" t="s">
        <v>1220</v>
      </c>
      <c r="C365" s="83" t="s">
        <v>25</v>
      </c>
      <c r="D365" s="83" t="s">
        <v>17</v>
      </c>
      <c r="E365" s="84">
        <v>3</v>
      </c>
      <c r="F365" s="85">
        <v>273.33</v>
      </c>
      <c r="G365" s="83" t="s">
        <v>885</v>
      </c>
      <c r="H365" s="83" t="s">
        <v>1212</v>
      </c>
      <c r="I365" s="85">
        <f>Planejamento2024[[#This Row],[Qnt de Itens]]*Planejamento2024[[#This Row],[Valor unitário]]</f>
        <v>819.99</v>
      </c>
      <c r="J365" s="83" t="s">
        <v>20</v>
      </c>
      <c r="K365" s="83" t="s">
        <v>415</v>
      </c>
      <c r="L365" s="86">
        <v>45292</v>
      </c>
      <c r="M365" s="83" t="s">
        <v>38</v>
      </c>
      <c r="N365" s="87" t="s">
        <v>1213</v>
      </c>
      <c r="O365" s="83" t="s">
        <v>827</v>
      </c>
    </row>
    <row r="366" spans="1:15" ht="18">
      <c r="A366" s="81">
        <f t="shared" si="5"/>
        <v>365</v>
      </c>
      <c r="B366" s="82" t="s">
        <v>1221</v>
      </c>
      <c r="C366" s="83" t="s">
        <v>25</v>
      </c>
      <c r="D366" s="83" t="s">
        <v>17</v>
      </c>
      <c r="E366" s="84">
        <v>12000</v>
      </c>
      <c r="F366" s="85">
        <v>1.23</v>
      </c>
      <c r="G366" s="83" t="s">
        <v>1059</v>
      </c>
      <c r="H366" s="83" t="s">
        <v>1222</v>
      </c>
      <c r="I366" s="85">
        <f>Planejamento2024[[#This Row],[Qnt de Itens]]*Planejamento2024[[#This Row],[Valor unitário]]</f>
        <v>14760</v>
      </c>
      <c r="J366" s="83" t="s">
        <v>20</v>
      </c>
      <c r="K366" s="83" t="s">
        <v>415</v>
      </c>
      <c r="L366" s="86">
        <v>45292</v>
      </c>
      <c r="M366" s="83" t="s">
        <v>38</v>
      </c>
      <c r="N366" s="87" t="s">
        <v>1223</v>
      </c>
      <c r="O366" s="83" t="s">
        <v>827</v>
      </c>
    </row>
    <row r="367" spans="1:15" ht="18">
      <c r="A367" s="81">
        <f t="shared" si="5"/>
        <v>366</v>
      </c>
      <c r="B367" s="82" t="s">
        <v>1224</v>
      </c>
      <c r="C367" s="83" t="s">
        <v>25</v>
      </c>
      <c r="D367" s="83" t="s">
        <v>17</v>
      </c>
      <c r="E367" s="84">
        <v>1914214</v>
      </c>
      <c r="F367" s="96">
        <v>0.125</v>
      </c>
      <c r="G367" s="83" t="s">
        <v>1059</v>
      </c>
      <c r="H367" s="83" t="s">
        <v>1222</v>
      </c>
      <c r="I367" s="85">
        <f>Planejamento2024[[#This Row],[Qnt de Itens]]*Planejamento2024[[#This Row],[Valor unitário]]</f>
        <v>239276.75</v>
      </c>
      <c r="J367" s="83" t="s">
        <v>20</v>
      </c>
      <c r="K367" s="83" t="s">
        <v>415</v>
      </c>
      <c r="L367" s="86">
        <v>45292</v>
      </c>
      <c r="M367" s="83" t="s">
        <v>38</v>
      </c>
      <c r="N367" s="87" t="s">
        <v>1223</v>
      </c>
      <c r="O367" s="83" t="s">
        <v>827</v>
      </c>
    </row>
    <row r="368" spans="1:15" ht="27">
      <c r="A368" s="81">
        <f t="shared" si="5"/>
        <v>367</v>
      </c>
      <c r="B368" s="82" t="s">
        <v>1225</v>
      </c>
      <c r="C368" s="83" t="s">
        <v>25</v>
      </c>
      <c r="D368" s="83" t="s">
        <v>17</v>
      </c>
      <c r="E368" s="84">
        <v>12</v>
      </c>
      <c r="F368" s="85">
        <v>82.95</v>
      </c>
      <c r="G368" s="83" t="s">
        <v>18</v>
      </c>
      <c r="H368" s="83" t="s">
        <v>393</v>
      </c>
      <c r="I368" s="85">
        <f>Planejamento2024[[#This Row],[Qnt de Itens]]*Planejamento2024[[#This Row],[Valor unitário]]</f>
        <v>995.40000000000009</v>
      </c>
      <c r="J368" s="83" t="s">
        <v>20</v>
      </c>
      <c r="K368" s="83" t="s">
        <v>415</v>
      </c>
      <c r="L368" s="86">
        <v>45393</v>
      </c>
      <c r="M368" s="83" t="s">
        <v>38</v>
      </c>
      <c r="N368" s="87" t="s">
        <v>1226</v>
      </c>
      <c r="O368" s="83" t="s">
        <v>827</v>
      </c>
    </row>
    <row r="369" spans="1:15" ht="27">
      <c r="A369" s="81">
        <f t="shared" si="5"/>
        <v>368</v>
      </c>
      <c r="B369" s="82" t="s">
        <v>1227</v>
      </c>
      <c r="C369" s="83" t="s">
        <v>25</v>
      </c>
      <c r="D369" s="83" t="s">
        <v>17</v>
      </c>
      <c r="E369" s="84">
        <v>12</v>
      </c>
      <c r="F369" s="85">
        <v>82.95</v>
      </c>
      <c r="G369" s="83" t="s">
        <v>18</v>
      </c>
      <c r="H369" s="83" t="s">
        <v>393</v>
      </c>
      <c r="I369" s="85">
        <f>Planejamento2024[[#This Row],[Qnt de Itens]]*Planejamento2024[[#This Row],[Valor unitário]]</f>
        <v>995.40000000000009</v>
      </c>
      <c r="J369" s="83" t="s">
        <v>20</v>
      </c>
      <c r="K369" s="83" t="s">
        <v>415</v>
      </c>
      <c r="L369" s="86">
        <v>45307</v>
      </c>
      <c r="M369" s="83" t="s">
        <v>38</v>
      </c>
      <c r="N369" s="87" t="s">
        <v>1226</v>
      </c>
      <c r="O369" s="83" t="s">
        <v>827</v>
      </c>
    </row>
    <row r="370" spans="1:15" ht="27">
      <c r="A370" s="81">
        <f t="shared" si="5"/>
        <v>369</v>
      </c>
      <c r="B370" s="82" t="s">
        <v>1228</v>
      </c>
      <c r="C370" s="83" t="s">
        <v>25</v>
      </c>
      <c r="D370" s="83" t="s">
        <v>17</v>
      </c>
      <c r="E370" s="84">
        <v>12</v>
      </c>
      <c r="F370" s="85">
        <v>82.95</v>
      </c>
      <c r="G370" s="83" t="s">
        <v>18</v>
      </c>
      <c r="H370" s="83" t="s">
        <v>393</v>
      </c>
      <c r="I370" s="85">
        <f>Planejamento2024[[#This Row],[Qnt de Itens]]*Planejamento2024[[#This Row],[Valor unitário]]</f>
        <v>995.40000000000009</v>
      </c>
      <c r="J370" s="83" t="s">
        <v>20</v>
      </c>
      <c r="K370" s="83" t="s">
        <v>415</v>
      </c>
      <c r="L370" s="86">
        <v>45307</v>
      </c>
      <c r="M370" s="83" t="s">
        <v>38</v>
      </c>
      <c r="N370" s="87" t="s">
        <v>1226</v>
      </c>
      <c r="O370" s="83" t="s">
        <v>827</v>
      </c>
    </row>
    <row r="371" spans="1:15" ht="18">
      <c r="A371" s="81">
        <f t="shared" si="5"/>
        <v>370</v>
      </c>
      <c r="B371" s="82" t="s">
        <v>1229</v>
      </c>
      <c r="C371" s="83" t="s">
        <v>25</v>
      </c>
      <c r="D371" s="83" t="s">
        <v>17</v>
      </c>
      <c r="E371" s="84">
        <v>12</v>
      </c>
      <c r="F371" s="85">
        <v>82.95</v>
      </c>
      <c r="G371" s="83" t="s">
        <v>18</v>
      </c>
      <c r="H371" s="83" t="s">
        <v>393</v>
      </c>
      <c r="I371" s="85">
        <f>Planejamento2024[[#This Row],[Qnt de Itens]]*Planejamento2024[[#This Row],[Valor unitário]]</f>
        <v>995.40000000000009</v>
      </c>
      <c r="J371" s="83" t="s">
        <v>20</v>
      </c>
      <c r="K371" s="83" t="s">
        <v>415</v>
      </c>
      <c r="L371" s="86">
        <v>45307</v>
      </c>
      <c r="M371" s="83" t="s">
        <v>38</v>
      </c>
      <c r="N371" s="87" t="s">
        <v>1226</v>
      </c>
      <c r="O371" s="83" t="s">
        <v>827</v>
      </c>
    </row>
    <row r="372" spans="1:15" ht="18">
      <c r="A372" s="81">
        <f t="shared" si="5"/>
        <v>371</v>
      </c>
      <c r="B372" s="82" t="s">
        <v>1230</v>
      </c>
      <c r="C372" s="83" t="s">
        <v>25</v>
      </c>
      <c r="D372" s="83" t="s">
        <v>17</v>
      </c>
      <c r="E372" s="84">
        <v>12</v>
      </c>
      <c r="F372" s="85">
        <v>82.95</v>
      </c>
      <c r="G372" s="83" t="s">
        <v>18</v>
      </c>
      <c r="H372" s="83" t="s">
        <v>393</v>
      </c>
      <c r="I372" s="85">
        <f>Planejamento2024[[#This Row],[Qnt de Itens]]*Planejamento2024[[#This Row],[Valor unitário]]</f>
        <v>995.40000000000009</v>
      </c>
      <c r="J372" s="83" t="s">
        <v>20</v>
      </c>
      <c r="K372" s="83" t="s">
        <v>415</v>
      </c>
      <c r="L372" s="86">
        <v>45307</v>
      </c>
      <c r="M372" s="83" t="s">
        <v>38</v>
      </c>
      <c r="N372" s="87" t="s">
        <v>1226</v>
      </c>
      <c r="O372" s="83" t="s">
        <v>827</v>
      </c>
    </row>
    <row r="373" spans="1:15" ht="27">
      <c r="A373" s="81">
        <f t="shared" si="5"/>
        <v>372</v>
      </c>
      <c r="B373" s="82" t="s">
        <v>1231</v>
      </c>
      <c r="C373" s="83" t="s">
        <v>25</v>
      </c>
      <c r="D373" s="83" t="s">
        <v>17</v>
      </c>
      <c r="E373" s="84">
        <v>12</v>
      </c>
      <c r="F373" s="85">
        <v>82.95</v>
      </c>
      <c r="G373" s="83" t="s">
        <v>18</v>
      </c>
      <c r="H373" s="83" t="s">
        <v>393</v>
      </c>
      <c r="I373" s="85">
        <f>Planejamento2024[[#This Row],[Qnt de Itens]]*Planejamento2024[[#This Row],[Valor unitário]]</f>
        <v>995.40000000000009</v>
      </c>
      <c r="J373" s="83" t="s">
        <v>20</v>
      </c>
      <c r="K373" s="83" t="s">
        <v>415</v>
      </c>
      <c r="L373" s="86">
        <v>45307</v>
      </c>
      <c r="M373" s="83" t="s">
        <v>38</v>
      </c>
      <c r="N373" s="87" t="s">
        <v>1226</v>
      </c>
      <c r="O373" s="83" t="s">
        <v>827</v>
      </c>
    </row>
    <row r="374" spans="1:15" ht="27">
      <c r="A374" s="81">
        <f t="shared" si="5"/>
        <v>373</v>
      </c>
      <c r="B374" s="82" t="s">
        <v>1232</v>
      </c>
      <c r="C374" s="83" t="s">
        <v>25</v>
      </c>
      <c r="D374" s="83" t="s">
        <v>17</v>
      </c>
      <c r="E374" s="84">
        <v>12</v>
      </c>
      <c r="F374" s="85">
        <v>82.95</v>
      </c>
      <c r="G374" s="83" t="s">
        <v>18</v>
      </c>
      <c r="H374" s="83" t="s">
        <v>393</v>
      </c>
      <c r="I374" s="85">
        <f>Planejamento2024[[#This Row],[Qnt de Itens]]*Planejamento2024[[#This Row],[Valor unitário]]</f>
        <v>995.40000000000009</v>
      </c>
      <c r="J374" s="83" t="s">
        <v>20</v>
      </c>
      <c r="K374" s="83" t="s">
        <v>415</v>
      </c>
      <c r="L374" s="86">
        <v>45307</v>
      </c>
      <c r="M374" s="83" t="s">
        <v>38</v>
      </c>
      <c r="N374" s="87" t="s">
        <v>1226</v>
      </c>
      <c r="O374" s="83" t="s">
        <v>827</v>
      </c>
    </row>
    <row r="375" spans="1:15" ht="18">
      <c r="A375" s="81">
        <f t="shared" si="5"/>
        <v>374</v>
      </c>
      <c r="B375" s="82" t="s">
        <v>1233</v>
      </c>
      <c r="C375" s="83" t="s">
        <v>25</v>
      </c>
      <c r="D375" s="83" t="s">
        <v>17</v>
      </c>
      <c r="E375" s="84">
        <v>12</v>
      </c>
      <c r="F375" s="85">
        <v>82.95</v>
      </c>
      <c r="G375" s="83" t="s">
        <v>18</v>
      </c>
      <c r="H375" s="83" t="s">
        <v>393</v>
      </c>
      <c r="I375" s="85">
        <f>Planejamento2024[[#This Row],[Qnt de Itens]]*Planejamento2024[[#This Row],[Valor unitário]]</f>
        <v>995.40000000000009</v>
      </c>
      <c r="J375" s="83" t="s">
        <v>20</v>
      </c>
      <c r="K375" s="83" t="s">
        <v>415</v>
      </c>
      <c r="L375" s="86">
        <v>45307</v>
      </c>
      <c r="M375" s="83" t="s">
        <v>38</v>
      </c>
      <c r="N375" s="87" t="s">
        <v>1226</v>
      </c>
      <c r="O375" s="83" t="s">
        <v>827</v>
      </c>
    </row>
    <row r="376" spans="1:15" ht="18">
      <c r="A376" s="81">
        <f t="shared" si="5"/>
        <v>375</v>
      </c>
      <c r="B376" s="82" t="s">
        <v>1234</v>
      </c>
      <c r="C376" s="83" t="s">
        <v>25</v>
      </c>
      <c r="D376" s="83" t="s">
        <v>17</v>
      </c>
      <c r="E376" s="84">
        <v>12</v>
      </c>
      <c r="F376" s="85">
        <v>82.95</v>
      </c>
      <c r="G376" s="83" t="s">
        <v>18</v>
      </c>
      <c r="H376" s="83" t="s">
        <v>393</v>
      </c>
      <c r="I376" s="85">
        <f>Planejamento2024[[#This Row],[Qnt de Itens]]*Planejamento2024[[#This Row],[Valor unitário]]</f>
        <v>995.40000000000009</v>
      </c>
      <c r="J376" s="83" t="s">
        <v>20</v>
      </c>
      <c r="K376" s="83" t="s">
        <v>415</v>
      </c>
      <c r="L376" s="86">
        <v>45307</v>
      </c>
      <c r="M376" s="83" t="s">
        <v>38</v>
      </c>
      <c r="N376" s="87" t="s">
        <v>1226</v>
      </c>
      <c r="O376" s="83" t="s">
        <v>827</v>
      </c>
    </row>
    <row r="377" spans="1:15" ht="27">
      <c r="A377" s="81">
        <f t="shared" si="5"/>
        <v>376</v>
      </c>
      <c r="B377" s="82" t="s">
        <v>1235</v>
      </c>
      <c r="C377" s="83" t="s">
        <v>25</v>
      </c>
      <c r="D377" s="83" t="s">
        <v>17</v>
      </c>
      <c r="E377" s="84">
        <v>12</v>
      </c>
      <c r="F377" s="85">
        <v>82.95</v>
      </c>
      <c r="G377" s="83" t="s">
        <v>18</v>
      </c>
      <c r="H377" s="83" t="s">
        <v>393</v>
      </c>
      <c r="I377" s="85">
        <f>Planejamento2024[[#This Row],[Qnt de Itens]]*Planejamento2024[[#This Row],[Valor unitário]]</f>
        <v>995.40000000000009</v>
      </c>
      <c r="J377" s="83" t="s">
        <v>20</v>
      </c>
      <c r="K377" s="83" t="s">
        <v>415</v>
      </c>
      <c r="L377" s="86">
        <v>45307</v>
      </c>
      <c r="M377" s="83" t="s">
        <v>38</v>
      </c>
      <c r="N377" s="87" t="s">
        <v>1226</v>
      </c>
      <c r="O377" s="83" t="s">
        <v>827</v>
      </c>
    </row>
    <row r="378" spans="1:15" ht="18">
      <c r="A378" s="81">
        <f t="shared" si="5"/>
        <v>377</v>
      </c>
      <c r="B378" s="82" t="s">
        <v>1236</v>
      </c>
      <c r="C378" s="83" t="s">
        <v>25</v>
      </c>
      <c r="D378" s="83" t="s">
        <v>17</v>
      </c>
      <c r="E378" s="84">
        <v>12</v>
      </c>
      <c r="F378" s="85">
        <v>82.95</v>
      </c>
      <c r="G378" s="83" t="s">
        <v>18</v>
      </c>
      <c r="H378" s="83" t="s">
        <v>393</v>
      </c>
      <c r="I378" s="85">
        <f>Planejamento2024[[#This Row],[Qnt de Itens]]*Planejamento2024[[#This Row],[Valor unitário]]</f>
        <v>995.40000000000009</v>
      </c>
      <c r="J378" s="83" t="s">
        <v>20</v>
      </c>
      <c r="K378" s="83" t="s">
        <v>415</v>
      </c>
      <c r="L378" s="86">
        <v>45307</v>
      </c>
      <c r="M378" s="83" t="s">
        <v>38</v>
      </c>
      <c r="N378" s="87" t="s">
        <v>1226</v>
      </c>
      <c r="O378" s="83" t="s">
        <v>827</v>
      </c>
    </row>
    <row r="379" spans="1:15" ht="18">
      <c r="A379" s="81">
        <f t="shared" si="5"/>
        <v>378</v>
      </c>
      <c r="B379" s="82" t="s">
        <v>1237</v>
      </c>
      <c r="C379" s="83" t="s">
        <v>25</v>
      </c>
      <c r="D379" s="83" t="s">
        <v>17</v>
      </c>
      <c r="E379" s="84">
        <v>12</v>
      </c>
      <c r="F379" s="85">
        <v>82.95</v>
      </c>
      <c r="G379" s="83" t="s">
        <v>18</v>
      </c>
      <c r="H379" s="83" t="s">
        <v>393</v>
      </c>
      <c r="I379" s="85">
        <f>Planejamento2024[[#This Row],[Qnt de Itens]]*Planejamento2024[[#This Row],[Valor unitário]]</f>
        <v>995.40000000000009</v>
      </c>
      <c r="J379" s="83" t="s">
        <v>20</v>
      </c>
      <c r="K379" s="83" t="s">
        <v>415</v>
      </c>
      <c r="L379" s="86">
        <v>45307</v>
      </c>
      <c r="M379" s="83" t="s">
        <v>38</v>
      </c>
      <c r="N379" s="87" t="s">
        <v>1226</v>
      </c>
      <c r="O379" s="83" t="s">
        <v>827</v>
      </c>
    </row>
    <row r="380" spans="1:15" ht="18">
      <c r="A380" s="81">
        <f t="shared" si="5"/>
        <v>379</v>
      </c>
      <c r="B380" s="82" t="s">
        <v>1238</v>
      </c>
      <c r="C380" s="83" t="s">
        <v>25</v>
      </c>
      <c r="D380" s="83" t="s">
        <v>17</v>
      </c>
      <c r="E380" s="84">
        <v>12</v>
      </c>
      <c r="F380" s="85">
        <v>82.95</v>
      </c>
      <c r="G380" s="83" t="s">
        <v>18</v>
      </c>
      <c r="H380" s="83" t="s">
        <v>393</v>
      </c>
      <c r="I380" s="85">
        <f>Planejamento2024[[#This Row],[Qnt de Itens]]*Planejamento2024[[#This Row],[Valor unitário]]</f>
        <v>995.40000000000009</v>
      </c>
      <c r="J380" s="83" t="s">
        <v>20</v>
      </c>
      <c r="K380" s="83" t="s">
        <v>415</v>
      </c>
      <c r="L380" s="86">
        <v>45307</v>
      </c>
      <c r="M380" s="83" t="s">
        <v>38</v>
      </c>
      <c r="N380" s="87" t="s">
        <v>1226</v>
      </c>
      <c r="O380" s="83" t="s">
        <v>827</v>
      </c>
    </row>
    <row r="381" spans="1:15" ht="18">
      <c r="A381" s="81">
        <f t="shared" si="5"/>
        <v>380</v>
      </c>
      <c r="B381" s="82" t="s">
        <v>1239</v>
      </c>
      <c r="C381" s="83" t="s">
        <v>25</v>
      </c>
      <c r="D381" s="83" t="s">
        <v>17</v>
      </c>
      <c r="E381" s="84">
        <v>12</v>
      </c>
      <c r="F381" s="85">
        <v>82.95</v>
      </c>
      <c r="G381" s="83" t="s">
        <v>18</v>
      </c>
      <c r="H381" s="83" t="s">
        <v>393</v>
      </c>
      <c r="I381" s="85">
        <f>Planejamento2024[[#This Row],[Qnt de Itens]]*Planejamento2024[[#This Row],[Valor unitário]]</f>
        <v>995.40000000000009</v>
      </c>
      <c r="J381" s="83" t="s">
        <v>20</v>
      </c>
      <c r="K381" s="83" t="s">
        <v>415</v>
      </c>
      <c r="L381" s="86">
        <v>45307</v>
      </c>
      <c r="M381" s="83" t="s">
        <v>38</v>
      </c>
      <c r="N381" s="87" t="s">
        <v>1226</v>
      </c>
      <c r="O381" s="83" t="s">
        <v>827</v>
      </c>
    </row>
    <row r="382" spans="1:15" ht="27">
      <c r="A382" s="81">
        <f t="shared" si="5"/>
        <v>381</v>
      </c>
      <c r="B382" s="82" t="s">
        <v>1240</v>
      </c>
      <c r="C382" s="83" t="s">
        <v>25</v>
      </c>
      <c r="D382" s="83" t="s">
        <v>17</v>
      </c>
      <c r="E382" s="84">
        <v>12</v>
      </c>
      <c r="F382" s="85">
        <v>82.95</v>
      </c>
      <c r="G382" s="83" t="s">
        <v>18</v>
      </c>
      <c r="H382" s="83" t="s">
        <v>393</v>
      </c>
      <c r="I382" s="85">
        <f>Planejamento2024[[#This Row],[Qnt de Itens]]*Planejamento2024[[#This Row],[Valor unitário]]</f>
        <v>995.40000000000009</v>
      </c>
      <c r="J382" s="83" t="s">
        <v>20</v>
      </c>
      <c r="K382" s="83" t="s">
        <v>415</v>
      </c>
      <c r="L382" s="86">
        <v>45307</v>
      </c>
      <c r="M382" s="83" t="s">
        <v>38</v>
      </c>
      <c r="N382" s="87" t="s">
        <v>1226</v>
      </c>
      <c r="O382" s="83" t="s">
        <v>827</v>
      </c>
    </row>
    <row r="383" spans="1:15" ht="18">
      <c r="A383" s="81">
        <f t="shared" si="5"/>
        <v>382</v>
      </c>
      <c r="B383" s="82" t="s">
        <v>1241</v>
      </c>
      <c r="C383" s="83" t="s">
        <v>25</v>
      </c>
      <c r="D383" s="83" t="s">
        <v>17</v>
      </c>
      <c r="E383" s="84">
        <v>12</v>
      </c>
      <c r="F383" s="85">
        <v>82.95</v>
      </c>
      <c r="G383" s="83" t="s">
        <v>18</v>
      </c>
      <c r="H383" s="83" t="s">
        <v>393</v>
      </c>
      <c r="I383" s="85">
        <f>Planejamento2024[[#This Row],[Qnt de Itens]]*Planejamento2024[[#This Row],[Valor unitário]]</f>
        <v>995.40000000000009</v>
      </c>
      <c r="J383" s="83" t="s">
        <v>20</v>
      </c>
      <c r="K383" s="83" t="s">
        <v>415</v>
      </c>
      <c r="L383" s="86">
        <v>45307</v>
      </c>
      <c r="M383" s="83" t="s">
        <v>38</v>
      </c>
      <c r="N383" s="87" t="s">
        <v>1226</v>
      </c>
      <c r="O383" s="83" t="s">
        <v>827</v>
      </c>
    </row>
    <row r="384" spans="1:15" ht="18">
      <c r="A384" s="81">
        <f t="shared" si="5"/>
        <v>383</v>
      </c>
      <c r="B384" s="82" t="s">
        <v>1242</v>
      </c>
      <c r="C384" s="83" t="s">
        <v>25</v>
      </c>
      <c r="D384" s="83" t="s">
        <v>17</v>
      </c>
      <c r="E384" s="84">
        <v>12</v>
      </c>
      <c r="F384" s="85">
        <v>82.95</v>
      </c>
      <c r="G384" s="83" t="s">
        <v>18</v>
      </c>
      <c r="H384" s="83" t="s">
        <v>393</v>
      </c>
      <c r="I384" s="85">
        <f>Planejamento2024[[#This Row],[Qnt de Itens]]*Planejamento2024[[#This Row],[Valor unitário]]</f>
        <v>995.40000000000009</v>
      </c>
      <c r="J384" s="83" t="s">
        <v>20</v>
      </c>
      <c r="K384" s="83" t="s">
        <v>415</v>
      </c>
      <c r="L384" s="86">
        <v>45307</v>
      </c>
      <c r="M384" s="83" t="s">
        <v>38</v>
      </c>
      <c r="N384" s="87" t="s">
        <v>1226</v>
      </c>
      <c r="O384" s="83" t="s">
        <v>827</v>
      </c>
    </row>
    <row r="385" spans="1:15" ht="18">
      <c r="A385" s="81">
        <f t="shared" si="5"/>
        <v>384</v>
      </c>
      <c r="B385" s="82" t="s">
        <v>1243</v>
      </c>
      <c r="C385" s="83" t="s">
        <v>25</v>
      </c>
      <c r="D385" s="83" t="s">
        <v>17</v>
      </c>
      <c r="E385" s="84">
        <v>12</v>
      </c>
      <c r="F385" s="85">
        <v>82.95</v>
      </c>
      <c r="G385" s="83" t="s">
        <v>18</v>
      </c>
      <c r="H385" s="83" t="s">
        <v>393</v>
      </c>
      <c r="I385" s="85">
        <f>Planejamento2024[[#This Row],[Qnt de Itens]]*Planejamento2024[[#This Row],[Valor unitário]]</f>
        <v>995.40000000000009</v>
      </c>
      <c r="J385" s="83" t="s">
        <v>20</v>
      </c>
      <c r="K385" s="83" t="s">
        <v>415</v>
      </c>
      <c r="L385" s="86">
        <v>45307</v>
      </c>
      <c r="M385" s="83" t="s">
        <v>38</v>
      </c>
      <c r="N385" s="87" t="s">
        <v>1226</v>
      </c>
      <c r="O385" s="83" t="s">
        <v>827</v>
      </c>
    </row>
    <row r="386" spans="1:15" ht="18">
      <c r="A386" s="81">
        <f t="shared" ref="A386:A449" si="6">ROW(A385)</f>
        <v>385</v>
      </c>
      <c r="B386" s="82" t="s">
        <v>1244</v>
      </c>
      <c r="C386" s="83" t="s">
        <v>25</v>
      </c>
      <c r="D386" s="83" t="s">
        <v>17</v>
      </c>
      <c r="E386" s="84">
        <v>12</v>
      </c>
      <c r="F386" s="85">
        <v>82.95</v>
      </c>
      <c r="G386" s="83" t="s">
        <v>18</v>
      </c>
      <c r="H386" s="83" t="s">
        <v>393</v>
      </c>
      <c r="I386" s="85">
        <f>Planejamento2024[[#This Row],[Qnt de Itens]]*Planejamento2024[[#This Row],[Valor unitário]]</f>
        <v>995.40000000000009</v>
      </c>
      <c r="J386" s="83" t="s">
        <v>20</v>
      </c>
      <c r="K386" s="83" t="s">
        <v>415</v>
      </c>
      <c r="L386" s="86">
        <v>45307</v>
      </c>
      <c r="M386" s="83" t="s">
        <v>38</v>
      </c>
      <c r="N386" s="87" t="s">
        <v>1226</v>
      </c>
      <c r="O386" s="83" t="s">
        <v>827</v>
      </c>
    </row>
    <row r="387" spans="1:15" ht="27">
      <c r="A387" s="81">
        <f t="shared" si="6"/>
        <v>386</v>
      </c>
      <c r="B387" s="82" t="s">
        <v>1245</v>
      </c>
      <c r="C387" s="83" t="s">
        <v>25</v>
      </c>
      <c r="D387" s="83" t="s">
        <v>17</v>
      </c>
      <c r="E387" s="84">
        <v>12</v>
      </c>
      <c r="F387" s="85">
        <v>82.95</v>
      </c>
      <c r="G387" s="83" t="s">
        <v>18</v>
      </c>
      <c r="H387" s="83" t="s">
        <v>393</v>
      </c>
      <c r="I387" s="85">
        <f>Planejamento2024[[#This Row],[Qnt de Itens]]*Planejamento2024[[#This Row],[Valor unitário]]</f>
        <v>995.40000000000009</v>
      </c>
      <c r="J387" s="83" t="s">
        <v>20</v>
      </c>
      <c r="K387" s="83" t="s">
        <v>415</v>
      </c>
      <c r="L387" s="86">
        <v>45307</v>
      </c>
      <c r="M387" s="83" t="s">
        <v>38</v>
      </c>
      <c r="N387" s="87" t="s">
        <v>1226</v>
      </c>
      <c r="O387" s="83" t="s">
        <v>827</v>
      </c>
    </row>
    <row r="388" spans="1:15" ht="18">
      <c r="A388" s="81">
        <f t="shared" si="6"/>
        <v>387</v>
      </c>
      <c r="B388" s="82" t="s">
        <v>1246</v>
      </c>
      <c r="C388" s="83" t="s">
        <v>25</v>
      </c>
      <c r="D388" s="83" t="s">
        <v>17</v>
      </c>
      <c r="E388" s="84">
        <v>12</v>
      </c>
      <c r="F388" s="85">
        <v>82.95</v>
      </c>
      <c r="G388" s="83" t="s">
        <v>18</v>
      </c>
      <c r="H388" s="83" t="s">
        <v>393</v>
      </c>
      <c r="I388" s="85">
        <f>Planejamento2024[[#This Row],[Qnt de Itens]]*Planejamento2024[[#This Row],[Valor unitário]]</f>
        <v>995.40000000000009</v>
      </c>
      <c r="J388" s="83" t="s">
        <v>20</v>
      </c>
      <c r="K388" s="83" t="s">
        <v>415</v>
      </c>
      <c r="L388" s="86">
        <v>45307</v>
      </c>
      <c r="M388" s="83" t="s">
        <v>38</v>
      </c>
      <c r="N388" s="87" t="s">
        <v>1226</v>
      </c>
      <c r="O388" s="83" t="s">
        <v>827</v>
      </c>
    </row>
    <row r="389" spans="1:15" ht="18">
      <c r="A389" s="81">
        <f t="shared" si="6"/>
        <v>388</v>
      </c>
      <c r="B389" s="82" t="s">
        <v>1247</v>
      </c>
      <c r="C389" s="83" t="s">
        <v>25</v>
      </c>
      <c r="D389" s="83" t="s">
        <v>17</v>
      </c>
      <c r="E389" s="84">
        <v>12</v>
      </c>
      <c r="F389" s="85">
        <v>82.95</v>
      </c>
      <c r="G389" s="83" t="s">
        <v>18</v>
      </c>
      <c r="H389" s="83" t="s">
        <v>393</v>
      </c>
      <c r="I389" s="85">
        <f>Planejamento2024[[#This Row],[Qnt de Itens]]*Planejamento2024[[#This Row],[Valor unitário]]</f>
        <v>995.40000000000009</v>
      </c>
      <c r="J389" s="83" t="s">
        <v>20</v>
      </c>
      <c r="K389" s="83" t="s">
        <v>415</v>
      </c>
      <c r="L389" s="86">
        <v>45307</v>
      </c>
      <c r="M389" s="83" t="s">
        <v>38</v>
      </c>
      <c r="N389" s="87" t="s">
        <v>1226</v>
      </c>
      <c r="O389" s="83" t="s">
        <v>827</v>
      </c>
    </row>
    <row r="390" spans="1:15" ht="27">
      <c r="A390" s="81">
        <f t="shared" si="6"/>
        <v>389</v>
      </c>
      <c r="B390" s="82" t="s">
        <v>1248</v>
      </c>
      <c r="C390" s="83" t="s">
        <v>25</v>
      </c>
      <c r="D390" s="83" t="s">
        <v>17</v>
      </c>
      <c r="E390" s="84">
        <v>12</v>
      </c>
      <c r="F390" s="85">
        <v>82.95</v>
      </c>
      <c r="G390" s="83" t="s">
        <v>18</v>
      </c>
      <c r="H390" s="83" t="s">
        <v>393</v>
      </c>
      <c r="I390" s="85">
        <f>Planejamento2024[[#This Row],[Qnt de Itens]]*Planejamento2024[[#This Row],[Valor unitário]]</f>
        <v>995.40000000000009</v>
      </c>
      <c r="J390" s="83" t="s">
        <v>20</v>
      </c>
      <c r="K390" s="83" t="s">
        <v>415</v>
      </c>
      <c r="L390" s="86">
        <v>45307</v>
      </c>
      <c r="M390" s="83" t="s">
        <v>38</v>
      </c>
      <c r="N390" s="87" t="s">
        <v>1226</v>
      </c>
      <c r="O390" s="83" t="s">
        <v>827</v>
      </c>
    </row>
    <row r="391" spans="1:15" ht="27">
      <c r="A391" s="81">
        <f t="shared" si="6"/>
        <v>390</v>
      </c>
      <c r="B391" s="82" t="s">
        <v>1249</v>
      </c>
      <c r="C391" s="83" t="s">
        <v>25</v>
      </c>
      <c r="D391" s="83" t="s">
        <v>17</v>
      </c>
      <c r="E391" s="84">
        <v>12</v>
      </c>
      <c r="F391" s="85">
        <v>82.95</v>
      </c>
      <c r="G391" s="83" t="s">
        <v>18</v>
      </c>
      <c r="H391" s="83" t="s">
        <v>393</v>
      </c>
      <c r="I391" s="85">
        <f>Planejamento2024[[#This Row],[Qnt de Itens]]*Planejamento2024[[#This Row],[Valor unitário]]</f>
        <v>995.40000000000009</v>
      </c>
      <c r="J391" s="83" t="s">
        <v>20</v>
      </c>
      <c r="K391" s="83" t="s">
        <v>415</v>
      </c>
      <c r="L391" s="86">
        <v>45307</v>
      </c>
      <c r="M391" s="83" t="s">
        <v>38</v>
      </c>
      <c r="N391" s="87" t="s">
        <v>1226</v>
      </c>
      <c r="O391" s="83" t="s">
        <v>827</v>
      </c>
    </row>
    <row r="392" spans="1:15" ht="18">
      <c r="A392" s="81">
        <f t="shared" si="6"/>
        <v>391</v>
      </c>
      <c r="B392" s="82" t="s">
        <v>1250</v>
      </c>
      <c r="C392" s="83" t="s">
        <v>25</v>
      </c>
      <c r="D392" s="83" t="s">
        <v>17</v>
      </c>
      <c r="E392" s="84">
        <v>12</v>
      </c>
      <c r="F392" s="85">
        <v>82.95</v>
      </c>
      <c r="G392" s="83" t="s">
        <v>18</v>
      </c>
      <c r="H392" s="83" t="s">
        <v>393</v>
      </c>
      <c r="I392" s="85">
        <f>Planejamento2024[[#This Row],[Qnt de Itens]]*Planejamento2024[[#This Row],[Valor unitário]]</f>
        <v>995.40000000000009</v>
      </c>
      <c r="J392" s="83" t="s">
        <v>20</v>
      </c>
      <c r="K392" s="83" t="s">
        <v>415</v>
      </c>
      <c r="L392" s="86">
        <v>45307</v>
      </c>
      <c r="M392" s="83" t="s">
        <v>38</v>
      </c>
      <c r="N392" s="87" t="s">
        <v>1226</v>
      </c>
      <c r="O392" s="83" t="s">
        <v>827</v>
      </c>
    </row>
    <row r="393" spans="1:15" ht="27">
      <c r="A393" s="81">
        <f t="shared" si="6"/>
        <v>392</v>
      </c>
      <c r="B393" s="82" t="s">
        <v>1251</v>
      </c>
      <c r="C393" s="83" t="s">
        <v>25</v>
      </c>
      <c r="D393" s="83" t="s">
        <v>17</v>
      </c>
      <c r="E393" s="84">
        <v>12</v>
      </c>
      <c r="F393" s="85">
        <v>82.95</v>
      </c>
      <c r="G393" s="83" t="s">
        <v>18</v>
      </c>
      <c r="H393" s="83" t="s">
        <v>393</v>
      </c>
      <c r="I393" s="85">
        <f>Planejamento2024[[#This Row],[Qnt de Itens]]*Planejamento2024[[#This Row],[Valor unitário]]</f>
        <v>995.40000000000009</v>
      </c>
      <c r="J393" s="83" t="s">
        <v>20</v>
      </c>
      <c r="K393" s="83" t="s">
        <v>415</v>
      </c>
      <c r="L393" s="86">
        <v>45307</v>
      </c>
      <c r="M393" s="83" t="s">
        <v>38</v>
      </c>
      <c r="N393" s="87" t="s">
        <v>1226</v>
      </c>
      <c r="O393" s="83" t="s">
        <v>827</v>
      </c>
    </row>
    <row r="394" spans="1:15" ht="27">
      <c r="A394" s="81">
        <f t="shared" si="6"/>
        <v>393</v>
      </c>
      <c r="B394" s="82" t="s">
        <v>1252</v>
      </c>
      <c r="C394" s="83" t="s">
        <v>25</v>
      </c>
      <c r="D394" s="83" t="s">
        <v>17</v>
      </c>
      <c r="E394" s="84">
        <v>12</v>
      </c>
      <c r="F394" s="85">
        <v>82.95</v>
      </c>
      <c r="G394" s="83" t="s">
        <v>18</v>
      </c>
      <c r="H394" s="83" t="s">
        <v>393</v>
      </c>
      <c r="I394" s="85">
        <f>Planejamento2024[[#This Row],[Qnt de Itens]]*Planejamento2024[[#This Row],[Valor unitário]]</f>
        <v>995.40000000000009</v>
      </c>
      <c r="J394" s="83" t="s">
        <v>20</v>
      </c>
      <c r="K394" s="83" t="s">
        <v>415</v>
      </c>
      <c r="L394" s="86">
        <v>45307</v>
      </c>
      <c r="M394" s="83" t="s">
        <v>38</v>
      </c>
      <c r="N394" s="87" t="s">
        <v>1226</v>
      </c>
      <c r="O394" s="83" t="s">
        <v>827</v>
      </c>
    </row>
    <row r="395" spans="1:15" ht="36">
      <c r="A395" s="81">
        <f t="shared" si="6"/>
        <v>394</v>
      </c>
      <c r="B395" s="82" t="s">
        <v>1253</v>
      </c>
      <c r="C395" s="83" t="s">
        <v>25</v>
      </c>
      <c r="D395" s="83" t="s">
        <v>17</v>
      </c>
      <c r="E395" s="84">
        <v>12</v>
      </c>
      <c r="F395" s="85">
        <v>82.95</v>
      </c>
      <c r="G395" s="83" t="s">
        <v>18</v>
      </c>
      <c r="H395" s="83" t="s">
        <v>393</v>
      </c>
      <c r="I395" s="85">
        <f>Planejamento2024[[#This Row],[Qnt de Itens]]*Planejamento2024[[#This Row],[Valor unitário]]</f>
        <v>995.40000000000009</v>
      </c>
      <c r="J395" s="83" t="s">
        <v>20</v>
      </c>
      <c r="K395" s="83" t="s">
        <v>415</v>
      </c>
      <c r="L395" s="86">
        <v>45307</v>
      </c>
      <c r="M395" s="83" t="s">
        <v>38</v>
      </c>
      <c r="N395" s="87" t="s">
        <v>1226</v>
      </c>
      <c r="O395" s="83" t="s">
        <v>827</v>
      </c>
    </row>
    <row r="396" spans="1:15" ht="18">
      <c r="A396" s="81">
        <f t="shared" si="6"/>
        <v>395</v>
      </c>
      <c r="B396" s="82" t="s">
        <v>1254</v>
      </c>
      <c r="C396" s="83" t="s">
        <v>25</v>
      </c>
      <c r="D396" s="83" t="s">
        <v>17</v>
      </c>
      <c r="E396" s="84">
        <v>12</v>
      </c>
      <c r="F396" s="85">
        <v>82.95</v>
      </c>
      <c r="G396" s="83" t="s">
        <v>18</v>
      </c>
      <c r="H396" s="83" t="s">
        <v>393</v>
      </c>
      <c r="I396" s="85">
        <f>Planejamento2024[[#This Row],[Qnt de Itens]]*Planejamento2024[[#This Row],[Valor unitário]]</f>
        <v>995.40000000000009</v>
      </c>
      <c r="J396" s="83" t="s">
        <v>20</v>
      </c>
      <c r="K396" s="83" t="s">
        <v>415</v>
      </c>
      <c r="L396" s="86">
        <v>45307</v>
      </c>
      <c r="M396" s="83" t="s">
        <v>38</v>
      </c>
      <c r="N396" s="87" t="s">
        <v>1226</v>
      </c>
      <c r="O396" s="83" t="s">
        <v>827</v>
      </c>
    </row>
    <row r="397" spans="1:15" ht="27">
      <c r="A397" s="81">
        <f t="shared" si="6"/>
        <v>396</v>
      </c>
      <c r="B397" s="82" t="s">
        <v>1255</v>
      </c>
      <c r="C397" s="83" t="s">
        <v>25</v>
      </c>
      <c r="D397" s="83" t="s">
        <v>17</v>
      </c>
      <c r="E397" s="84">
        <v>12</v>
      </c>
      <c r="F397" s="85">
        <v>82.95</v>
      </c>
      <c r="G397" s="83" t="s">
        <v>18</v>
      </c>
      <c r="H397" s="83" t="s">
        <v>393</v>
      </c>
      <c r="I397" s="85">
        <f>Planejamento2024[[#This Row],[Qnt de Itens]]*Planejamento2024[[#This Row],[Valor unitário]]</f>
        <v>995.40000000000009</v>
      </c>
      <c r="J397" s="83" t="s">
        <v>20</v>
      </c>
      <c r="K397" s="83" t="s">
        <v>415</v>
      </c>
      <c r="L397" s="86">
        <v>45307</v>
      </c>
      <c r="M397" s="83" t="s">
        <v>38</v>
      </c>
      <c r="N397" s="87" t="s">
        <v>1226</v>
      </c>
      <c r="O397" s="83" t="s">
        <v>827</v>
      </c>
    </row>
    <row r="398" spans="1:15" ht="18">
      <c r="A398" s="81">
        <f t="shared" si="6"/>
        <v>397</v>
      </c>
      <c r="B398" s="82" t="s">
        <v>1256</v>
      </c>
      <c r="C398" s="83" t="s">
        <v>25</v>
      </c>
      <c r="D398" s="83" t="s">
        <v>17</v>
      </c>
      <c r="E398" s="84">
        <v>12</v>
      </c>
      <c r="F398" s="85">
        <v>82.95</v>
      </c>
      <c r="G398" s="83" t="s">
        <v>18</v>
      </c>
      <c r="H398" s="83" t="s">
        <v>393</v>
      </c>
      <c r="I398" s="85">
        <f>Planejamento2024[[#This Row],[Qnt de Itens]]*Planejamento2024[[#This Row],[Valor unitário]]</f>
        <v>995.40000000000009</v>
      </c>
      <c r="J398" s="83" t="s">
        <v>20</v>
      </c>
      <c r="K398" s="83" t="s">
        <v>415</v>
      </c>
      <c r="L398" s="86">
        <v>45307</v>
      </c>
      <c r="M398" s="83" t="s">
        <v>38</v>
      </c>
      <c r="N398" s="87" t="s">
        <v>1226</v>
      </c>
      <c r="O398" s="83" t="s">
        <v>827</v>
      </c>
    </row>
    <row r="399" spans="1:15" ht="36">
      <c r="A399" s="81">
        <f t="shared" si="6"/>
        <v>398</v>
      </c>
      <c r="B399" s="82" t="s">
        <v>1257</v>
      </c>
      <c r="C399" s="83" t="s">
        <v>25</v>
      </c>
      <c r="D399" s="83" t="s">
        <v>17</v>
      </c>
      <c r="E399" s="84">
        <v>12</v>
      </c>
      <c r="F399" s="85">
        <v>82.95</v>
      </c>
      <c r="G399" s="83" t="s">
        <v>18</v>
      </c>
      <c r="H399" s="83" t="s">
        <v>393</v>
      </c>
      <c r="I399" s="85">
        <f>Planejamento2024[[#This Row],[Qnt de Itens]]*Planejamento2024[[#This Row],[Valor unitário]]</f>
        <v>995.40000000000009</v>
      </c>
      <c r="J399" s="83" t="s">
        <v>20</v>
      </c>
      <c r="K399" s="83" t="s">
        <v>415</v>
      </c>
      <c r="L399" s="86">
        <v>45307</v>
      </c>
      <c r="M399" s="83" t="s">
        <v>38</v>
      </c>
      <c r="N399" s="87" t="s">
        <v>1226</v>
      </c>
      <c r="O399" s="83" t="s">
        <v>827</v>
      </c>
    </row>
    <row r="400" spans="1:15" ht="27">
      <c r="A400" s="81">
        <f t="shared" si="6"/>
        <v>399</v>
      </c>
      <c r="B400" s="82" t="s">
        <v>1258</v>
      </c>
      <c r="C400" s="83" t="s">
        <v>25</v>
      </c>
      <c r="D400" s="83" t="s">
        <v>17</v>
      </c>
      <c r="E400" s="84">
        <v>12</v>
      </c>
      <c r="F400" s="85">
        <v>82.95</v>
      </c>
      <c r="G400" s="83" t="s">
        <v>18</v>
      </c>
      <c r="H400" s="83" t="s">
        <v>393</v>
      </c>
      <c r="I400" s="85">
        <f>Planejamento2024[[#This Row],[Qnt de Itens]]*Planejamento2024[[#This Row],[Valor unitário]]</f>
        <v>995.40000000000009</v>
      </c>
      <c r="J400" s="83" t="s">
        <v>20</v>
      </c>
      <c r="K400" s="83" t="s">
        <v>415</v>
      </c>
      <c r="L400" s="86">
        <v>45307</v>
      </c>
      <c r="M400" s="83" t="s">
        <v>38</v>
      </c>
      <c r="N400" s="87" t="s">
        <v>1226</v>
      </c>
      <c r="O400" s="83" t="s">
        <v>827</v>
      </c>
    </row>
    <row r="401" spans="1:15" ht="36">
      <c r="A401" s="81">
        <f t="shared" si="6"/>
        <v>400</v>
      </c>
      <c r="B401" s="82" t="s">
        <v>1259</v>
      </c>
      <c r="C401" s="83" t="s">
        <v>25</v>
      </c>
      <c r="D401" s="83" t="s">
        <v>17</v>
      </c>
      <c r="E401" s="84">
        <v>12</v>
      </c>
      <c r="F401" s="85">
        <v>82.95</v>
      </c>
      <c r="G401" s="83" t="s">
        <v>18</v>
      </c>
      <c r="H401" s="83" t="s">
        <v>393</v>
      </c>
      <c r="I401" s="85">
        <f>Planejamento2024[[#This Row],[Qnt de Itens]]*Planejamento2024[[#This Row],[Valor unitário]]</f>
        <v>995.40000000000009</v>
      </c>
      <c r="J401" s="83" t="s">
        <v>20</v>
      </c>
      <c r="K401" s="83" t="s">
        <v>415</v>
      </c>
      <c r="L401" s="86">
        <v>45307</v>
      </c>
      <c r="M401" s="83" t="s">
        <v>38</v>
      </c>
      <c r="N401" s="87" t="s">
        <v>1226</v>
      </c>
      <c r="O401" s="83" t="s">
        <v>827</v>
      </c>
    </row>
    <row r="402" spans="1:15" ht="27">
      <c r="A402" s="81">
        <f t="shared" si="6"/>
        <v>401</v>
      </c>
      <c r="B402" s="82" t="s">
        <v>1260</v>
      </c>
      <c r="C402" s="83" t="s">
        <v>25</v>
      </c>
      <c r="D402" s="83" t="s">
        <v>17</v>
      </c>
      <c r="E402" s="84">
        <v>12</v>
      </c>
      <c r="F402" s="85">
        <v>82.95</v>
      </c>
      <c r="G402" s="83" t="s">
        <v>18</v>
      </c>
      <c r="H402" s="83" t="s">
        <v>393</v>
      </c>
      <c r="I402" s="85">
        <f>Planejamento2024[[#This Row],[Qnt de Itens]]*Planejamento2024[[#This Row],[Valor unitário]]</f>
        <v>995.40000000000009</v>
      </c>
      <c r="J402" s="83" t="s">
        <v>20</v>
      </c>
      <c r="K402" s="83" t="s">
        <v>415</v>
      </c>
      <c r="L402" s="86">
        <v>45307</v>
      </c>
      <c r="M402" s="83" t="s">
        <v>38</v>
      </c>
      <c r="N402" s="87" t="s">
        <v>1226</v>
      </c>
      <c r="O402" s="83" t="s">
        <v>827</v>
      </c>
    </row>
    <row r="403" spans="1:15" ht="27">
      <c r="A403" s="81">
        <f t="shared" si="6"/>
        <v>402</v>
      </c>
      <c r="B403" s="82" t="s">
        <v>1261</v>
      </c>
      <c r="C403" s="83" t="s">
        <v>25</v>
      </c>
      <c r="D403" s="83" t="s">
        <v>17</v>
      </c>
      <c r="E403" s="84">
        <v>12</v>
      </c>
      <c r="F403" s="85">
        <v>82.95</v>
      </c>
      <c r="G403" s="83" t="s">
        <v>18</v>
      </c>
      <c r="H403" s="83" t="s">
        <v>393</v>
      </c>
      <c r="I403" s="85">
        <f>Planejamento2024[[#This Row],[Qnt de Itens]]*Planejamento2024[[#This Row],[Valor unitário]]</f>
        <v>995.40000000000009</v>
      </c>
      <c r="J403" s="83" t="s">
        <v>20</v>
      </c>
      <c r="K403" s="83" t="s">
        <v>415</v>
      </c>
      <c r="L403" s="86">
        <v>45307</v>
      </c>
      <c r="M403" s="83" t="s">
        <v>38</v>
      </c>
      <c r="N403" s="87" t="s">
        <v>1226</v>
      </c>
      <c r="O403" s="83" t="s">
        <v>827</v>
      </c>
    </row>
    <row r="404" spans="1:15" ht="27">
      <c r="A404" s="81">
        <f t="shared" si="6"/>
        <v>403</v>
      </c>
      <c r="B404" s="82" t="s">
        <v>1262</v>
      </c>
      <c r="C404" s="83" t="s">
        <v>25</v>
      </c>
      <c r="D404" s="83" t="s">
        <v>17</v>
      </c>
      <c r="E404" s="84">
        <v>12</v>
      </c>
      <c r="F404" s="85">
        <v>82.95</v>
      </c>
      <c r="G404" s="83" t="s">
        <v>18</v>
      </c>
      <c r="H404" s="83" t="s">
        <v>393</v>
      </c>
      <c r="I404" s="85">
        <f>Planejamento2024[[#This Row],[Qnt de Itens]]*Planejamento2024[[#This Row],[Valor unitário]]</f>
        <v>995.40000000000009</v>
      </c>
      <c r="J404" s="83" t="s">
        <v>20</v>
      </c>
      <c r="K404" s="83" t="s">
        <v>415</v>
      </c>
      <c r="L404" s="86">
        <v>45307</v>
      </c>
      <c r="M404" s="83" t="s">
        <v>38</v>
      </c>
      <c r="N404" s="87" t="s">
        <v>1226</v>
      </c>
      <c r="O404" s="83" t="s">
        <v>827</v>
      </c>
    </row>
    <row r="405" spans="1:15" ht="27">
      <c r="A405" s="81">
        <f t="shared" si="6"/>
        <v>404</v>
      </c>
      <c r="B405" s="82" t="s">
        <v>1263</v>
      </c>
      <c r="C405" s="83" t="s">
        <v>25</v>
      </c>
      <c r="D405" s="83" t="s">
        <v>17</v>
      </c>
      <c r="E405" s="84">
        <v>12</v>
      </c>
      <c r="F405" s="85">
        <v>82.95</v>
      </c>
      <c r="G405" s="83" t="s">
        <v>18</v>
      </c>
      <c r="H405" s="83" t="s">
        <v>393</v>
      </c>
      <c r="I405" s="85">
        <f>Planejamento2024[[#This Row],[Qnt de Itens]]*Planejamento2024[[#This Row],[Valor unitário]]</f>
        <v>995.40000000000009</v>
      </c>
      <c r="J405" s="83" t="s">
        <v>20</v>
      </c>
      <c r="K405" s="83" t="s">
        <v>415</v>
      </c>
      <c r="L405" s="86">
        <v>45307</v>
      </c>
      <c r="M405" s="83" t="s">
        <v>38</v>
      </c>
      <c r="N405" s="87" t="s">
        <v>1226</v>
      </c>
      <c r="O405" s="83" t="s">
        <v>827</v>
      </c>
    </row>
    <row r="406" spans="1:15" ht="27">
      <c r="A406" s="81">
        <f t="shared" si="6"/>
        <v>405</v>
      </c>
      <c r="B406" s="82" t="s">
        <v>1264</v>
      </c>
      <c r="C406" s="83" t="s">
        <v>25</v>
      </c>
      <c r="D406" s="83" t="s">
        <v>17</v>
      </c>
      <c r="E406" s="84">
        <v>12</v>
      </c>
      <c r="F406" s="85">
        <v>82.95</v>
      </c>
      <c r="G406" s="83" t="s">
        <v>18</v>
      </c>
      <c r="H406" s="83" t="s">
        <v>393</v>
      </c>
      <c r="I406" s="85">
        <f>Planejamento2024[[#This Row],[Qnt de Itens]]*Planejamento2024[[#This Row],[Valor unitário]]</f>
        <v>995.40000000000009</v>
      </c>
      <c r="J406" s="83" t="s">
        <v>20</v>
      </c>
      <c r="K406" s="83" t="s">
        <v>415</v>
      </c>
      <c r="L406" s="86">
        <v>45307</v>
      </c>
      <c r="M406" s="83" t="s">
        <v>38</v>
      </c>
      <c r="N406" s="87" t="s">
        <v>1226</v>
      </c>
      <c r="O406" s="83" t="s">
        <v>827</v>
      </c>
    </row>
    <row r="407" spans="1:15" ht="18">
      <c r="A407" s="81">
        <f t="shared" si="6"/>
        <v>406</v>
      </c>
      <c r="B407" s="82" t="s">
        <v>1265</v>
      </c>
      <c r="C407" s="83" t="s">
        <v>25</v>
      </c>
      <c r="D407" s="83" t="s">
        <v>17</v>
      </c>
      <c r="E407" s="84">
        <v>12</v>
      </c>
      <c r="F407" s="85">
        <v>82.95</v>
      </c>
      <c r="G407" s="83" t="s">
        <v>18</v>
      </c>
      <c r="H407" s="83" t="s">
        <v>393</v>
      </c>
      <c r="I407" s="85">
        <f>Planejamento2024[[#This Row],[Qnt de Itens]]*Planejamento2024[[#This Row],[Valor unitário]]</f>
        <v>995.40000000000009</v>
      </c>
      <c r="J407" s="83" t="s">
        <v>20</v>
      </c>
      <c r="K407" s="83" t="s">
        <v>415</v>
      </c>
      <c r="L407" s="86">
        <v>45307</v>
      </c>
      <c r="M407" s="83" t="s">
        <v>38</v>
      </c>
      <c r="N407" s="87" t="s">
        <v>1226</v>
      </c>
      <c r="O407" s="83" t="s">
        <v>827</v>
      </c>
    </row>
    <row r="408" spans="1:15" ht="18">
      <c r="A408" s="81">
        <f t="shared" si="6"/>
        <v>407</v>
      </c>
      <c r="B408" s="82" t="s">
        <v>1266</v>
      </c>
      <c r="C408" s="83" t="s">
        <v>25</v>
      </c>
      <c r="D408" s="83" t="s">
        <v>17</v>
      </c>
      <c r="E408" s="84">
        <v>12</v>
      </c>
      <c r="F408" s="85">
        <v>82.95</v>
      </c>
      <c r="G408" s="83" t="s">
        <v>18</v>
      </c>
      <c r="H408" s="83" t="s">
        <v>393</v>
      </c>
      <c r="I408" s="85">
        <f>Planejamento2024[[#This Row],[Qnt de Itens]]*Planejamento2024[[#This Row],[Valor unitário]]</f>
        <v>995.40000000000009</v>
      </c>
      <c r="J408" s="83" t="s">
        <v>20</v>
      </c>
      <c r="K408" s="83" t="s">
        <v>415</v>
      </c>
      <c r="L408" s="86">
        <v>45307</v>
      </c>
      <c r="M408" s="83" t="s">
        <v>38</v>
      </c>
      <c r="N408" s="87" t="s">
        <v>1226</v>
      </c>
      <c r="O408" s="83" t="s">
        <v>827</v>
      </c>
    </row>
    <row r="409" spans="1:15" ht="18">
      <c r="A409" s="81">
        <f t="shared" si="6"/>
        <v>408</v>
      </c>
      <c r="B409" s="82" t="s">
        <v>1267</v>
      </c>
      <c r="C409" s="83" t="s">
        <v>25</v>
      </c>
      <c r="D409" s="83" t="s">
        <v>17</v>
      </c>
      <c r="E409" s="84">
        <v>12</v>
      </c>
      <c r="F409" s="85">
        <v>82.95</v>
      </c>
      <c r="G409" s="83" t="s">
        <v>18</v>
      </c>
      <c r="H409" s="83" t="s">
        <v>393</v>
      </c>
      <c r="I409" s="85">
        <f>Planejamento2024[[#This Row],[Qnt de Itens]]*Planejamento2024[[#This Row],[Valor unitário]]</f>
        <v>995.40000000000009</v>
      </c>
      <c r="J409" s="83" t="s">
        <v>20</v>
      </c>
      <c r="K409" s="83" t="s">
        <v>415</v>
      </c>
      <c r="L409" s="86">
        <v>45307</v>
      </c>
      <c r="M409" s="83" t="s">
        <v>38</v>
      </c>
      <c r="N409" s="87" t="s">
        <v>1226</v>
      </c>
      <c r="O409" s="83" t="s">
        <v>827</v>
      </c>
    </row>
    <row r="410" spans="1:15" ht="18">
      <c r="A410" s="81">
        <f t="shared" si="6"/>
        <v>409</v>
      </c>
      <c r="B410" s="82" t="s">
        <v>827</v>
      </c>
      <c r="C410" s="83" t="s">
        <v>25</v>
      </c>
      <c r="D410" s="83" t="s">
        <v>17</v>
      </c>
      <c r="E410" s="84">
        <v>12</v>
      </c>
      <c r="F410" s="85">
        <v>1418.97</v>
      </c>
      <c r="G410" s="83" t="s">
        <v>18</v>
      </c>
      <c r="H410" s="83" t="s">
        <v>393</v>
      </c>
      <c r="I410" s="85">
        <f>Planejamento2024[[#This Row],[Qnt de Itens]]*Planejamento2024[[#This Row],[Valor unitário]]</f>
        <v>17027.64</v>
      </c>
      <c r="J410" s="83" t="s">
        <v>20</v>
      </c>
      <c r="K410" s="83" t="s">
        <v>415</v>
      </c>
      <c r="L410" s="86">
        <v>45307</v>
      </c>
      <c r="M410" s="83" t="s">
        <v>38</v>
      </c>
      <c r="N410" s="87" t="s">
        <v>1226</v>
      </c>
      <c r="O410" s="83" t="s">
        <v>827</v>
      </c>
    </row>
    <row r="411" spans="1:15" ht="18">
      <c r="A411" s="81">
        <f t="shared" si="6"/>
        <v>410</v>
      </c>
      <c r="B411" s="82" t="s">
        <v>1268</v>
      </c>
      <c r="C411" s="83" t="s">
        <v>34</v>
      </c>
      <c r="D411" s="83" t="s">
        <v>35</v>
      </c>
      <c r="E411" s="84">
        <v>3000</v>
      </c>
      <c r="F411" s="85">
        <v>16.670000000000002</v>
      </c>
      <c r="G411" s="83" t="s">
        <v>885</v>
      </c>
      <c r="H411" s="83" t="s">
        <v>1269</v>
      </c>
      <c r="I411" s="85">
        <f>Planejamento2024[[#This Row],[Qnt de Itens]]*Planejamento2024[[#This Row],[Valor unitário]]</f>
        <v>50010.000000000007</v>
      </c>
      <c r="J411" s="83" t="s">
        <v>20</v>
      </c>
      <c r="K411" s="83" t="s">
        <v>492</v>
      </c>
      <c r="L411" s="86">
        <v>45292</v>
      </c>
      <c r="M411" s="83" t="s">
        <v>20</v>
      </c>
      <c r="N411" s="87" t="s">
        <v>1270</v>
      </c>
      <c r="O411" s="83" t="s">
        <v>827</v>
      </c>
    </row>
    <row r="412" spans="1:15" ht="18">
      <c r="A412" s="81">
        <f t="shared" si="6"/>
        <v>411</v>
      </c>
      <c r="B412" s="82" t="s">
        <v>1271</v>
      </c>
      <c r="C412" s="83" t="s">
        <v>34</v>
      </c>
      <c r="D412" s="83" t="s">
        <v>35</v>
      </c>
      <c r="E412" s="84">
        <v>2000</v>
      </c>
      <c r="F412" s="85">
        <v>9.67</v>
      </c>
      <c r="G412" s="83" t="s">
        <v>885</v>
      </c>
      <c r="H412" s="83" t="s">
        <v>1269</v>
      </c>
      <c r="I412" s="85">
        <f>Planejamento2024[[#This Row],[Qnt de Itens]]*Planejamento2024[[#This Row],[Valor unitário]]</f>
        <v>19340</v>
      </c>
      <c r="J412" s="83" t="s">
        <v>20</v>
      </c>
      <c r="K412" s="83" t="s">
        <v>492</v>
      </c>
      <c r="L412" s="86">
        <v>45292</v>
      </c>
      <c r="M412" s="83" t="s">
        <v>20</v>
      </c>
      <c r="N412" s="87" t="s">
        <v>1270</v>
      </c>
      <c r="O412" s="83" t="s">
        <v>827</v>
      </c>
    </row>
    <row r="413" spans="1:15" ht="18">
      <c r="A413" s="81">
        <f t="shared" si="6"/>
        <v>412</v>
      </c>
      <c r="B413" s="82" t="s">
        <v>1272</v>
      </c>
      <c r="C413" s="83" t="s">
        <v>34</v>
      </c>
      <c r="D413" s="83" t="s">
        <v>35</v>
      </c>
      <c r="E413" s="84">
        <v>2000</v>
      </c>
      <c r="F413" s="85">
        <v>56</v>
      </c>
      <c r="G413" s="83" t="s">
        <v>255</v>
      </c>
      <c r="H413" s="83" t="s">
        <v>1269</v>
      </c>
      <c r="I413" s="85">
        <f>Planejamento2024[[#This Row],[Qnt de Itens]]*Planejamento2024[[#This Row],[Valor unitário]]</f>
        <v>112000</v>
      </c>
      <c r="J413" s="83" t="s">
        <v>20</v>
      </c>
      <c r="K413" s="83" t="s">
        <v>492</v>
      </c>
      <c r="L413" s="86">
        <v>45292</v>
      </c>
      <c r="M413" s="83" t="s">
        <v>20</v>
      </c>
      <c r="N413" s="87" t="s">
        <v>1270</v>
      </c>
      <c r="O413" s="83" t="s">
        <v>827</v>
      </c>
    </row>
    <row r="414" spans="1:15" ht="18">
      <c r="A414" s="81">
        <f t="shared" si="6"/>
        <v>413</v>
      </c>
      <c r="B414" s="82" t="s">
        <v>1273</v>
      </c>
      <c r="C414" s="83" t="s">
        <v>34</v>
      </c>
      <c r="D414" s="83" t="s">
        <v>35</v>
      </c>
      <c r="E414" s="84">
        <v>1000</v>
      </c>
      <c r="F414" s="85">
        <v>62.67</v>
      </c>
      <c r="G414" s="83" t="s">
        <v>255</v>
      </c>
      <c r="H414" s="83" t="s">
        <v>1269</v>
      </c>
      <c r="I414" s="85">
        <f>Planejamento2024[[#This Row],[Qnt de Itens]]*Planejamento2024[[#This Row],[Valor unitário]]</f>
        <v>62670</v>
      </c>
      <c r="J414" s="83" t="s">
        <v>20</v>
      </c>
      <c r="K414" s="83" t="s">
        <v>492</v>
      </c>
      <c r="L414" s="86">
        <v>45292</v>
      </c>
      <c r="M414" s="83" t="s">
        <v>20</v>
      </c>
      <c r="N414" s="87" t="s">
        <v>1270</v>
      </c>
      <c r="O414" s="83" t="s">
        <v>827</v>
      </c>
    </row>
    <row r="415" spans="1:15" ht="18">
      <c r="A415" s="81">
        <f t="shared" si="6"/>
        <v>414</v>
      </c>
      <c r="B415" s="82" t="s">
        <v>1274</v>
      </c>
      <c r="C415" s="83" t="s">
        <v>34</v>
      </c>
      <c r="D415" s="83" t="s">
        <v>35</v>
      </c>
      <c r="E415" s="84">
        <v>1000</v>
      </c>
      <c r="F415" s="85">
        <v>43.33</v>
      </c>
      <c r="G415" s="83" t="s">
        <v>255</v>
      </c>
      <c r="H415" s="83" t="s">
        <v>1269</v>
      </c>
      <c r="I415" s="85">
        <f>Planejamento2024[[#This Row],[Qnt de Itens]]*Planejamento2024[[#This Row],[Valor unitário]]</f>
        <v>43330</v>
      </c>
      <c r="J415" s="83" t="s">
        <v>20</v>
      </c>
      <c r="K415" s="83" t="s">
        <v>492</v>
      </c>
      <c r="L415" s="86">
        <v>45292</v>
      </c>
      <c r="M415" s="83" t="s">
        <v>20</v>
      </c>
      <c r="N415" s="87" t="s">
        <v>1270</v>
      </c>
      <c r="O415" s="83" t="s">
        <v>827</v>
      </c>
    </row>
    <row r="416" spans="1:15" ht="18">
      <c r="A416" s="81">
        <f t="shared" si="6"/>
        <v>415</v>
      </c>
      <c r="B416" s="82" t="s">
        <v>563</v>
      </c>
      <c r="C416" s="83" t="s">
        <v>34</v>
      </c>
      <c r="D416" s="83" t="s">
        <v>35</v>
      </c>
      <c r="E416" s="84">
        <v>1000</v>
      </c>
      <c r="F416" s="85">
        <v>62.67</v>
      </c>
      <c r="G416" s="83" t="s">
        <v>885</v>
      </c>
      <c r="H416" s="83" t="s">
        <v>1269</v>
      </c>
      <c r="I416" s="85">
        <f>Planejamento2024[[#This Row],[Qnt de Itens]]*Planejamento2024[[#This Row],[Valor unitário]]</f>
        <v>62670</v>
      </c>
      <c r="J416" s="83" t="s">
        <v>20</v>
      </c>
      <c r="K416" s="83" t="s">
        <v>492</v>
      </c>
      <c r="L416" s="86">
        <v>45292</v>
      </c>
      <c r="M416" s="83" t="s">
        <v>20</v>
      </c>
      <c r="N416" s="87" t="s">
        <v>1270</v>
      </c>
      <c r="O416" s="83" t="s">
        <v>827</v>
      </c>
    </row>
    <row r="417" spans="1:15" ht="18">
      <c r="A417" s="81">
        <f t="shared" si="6"/>
        <v>416</v>
      </c>
      <c r="B417" s="82" t="s">
        <v>562</v>
      </c>
      <c r="C417" s="83" t="s">
        <v>34</v>
      </c>
      <c r="D417" s="83" t="s">
        <v>35</v>
      </c>
      <c r="E417" s="84">
        <v>1000</v>
      </c>
      <c r="F417" s="85">
        <v>46</v>
      </c>
      <c r="G417" s="83" t="s">
        <v>255</v>
      </c>
      <c r="H417" s="83" t="s">
        <v>1269</v>
      </c>
      <c r="I417" s="85">
        <f>Planejamento2024[[#This Row],[Qnt de Itens]]*Planejamento2024[[#This Row],[Valor unitário]]</f>
        <v>46000</v>
      </c>
      <c r="J417" s="83" t="s">
        <v>20</v>
      </c>
      <c r="K417" s="83" t="s">
        <v>492</v>
      </c>
      <c r="L417" s="86">
        <v>45292</v>
      </c>
      <c r="M417" s="83" t="s">
        <v>20</v>
      </c>
      <c r="N417" s="87" t="s">
        <v>1270</v>
      </c>
      <c r="O417" s="83" t="s">
        <v>827</v>
      </c>
    </row>
    <row r="418" spans="1:15" ht="18">
      <c r="A418" s="81">
        <f t="shared" si="6"/>
        <v>417</v>
      </c>
      <c r="B418" s="82" t="s">
        <v>1275</v>
      </c>
      <c r="C418" s="83" t="s">
        <v>34</v>
      </c>
      <c r="D418" s="83" t="s">
        <v>35</v>
      </c>
      <c r="E418" s="84">
        <v>1000</v>
      </c>
      <c r="F418" s="85">
        <v>44.33</v>
      </c>
      <c r="G418" s="83" t="s">
        <v>255</v>
      </c>
      <c r="H418" s="83" t="s">
        <v>1269</v>
      </c>
      <c r="I418" s="85">
        <f>Planejamento2024[[#This Row],[Qnt de Itens]]*Planejamento2024[[#This Row],[Valor unitário]]</f>
        <v>44330</v>
      </c>
      <c r="J418" s="83" t="s">
        <v>20</v>
      </c>
      <c r="K418" s="83" t="s">
        <v>492</v>
      </c>
      <c r="L418" s="86">
        <v>45292</v>
      </c>
      <c r="M418" s="83" t="s">
        <v>20</v>
      </c>
      <c r="N418" s="87" t="s">
        <v>1270</v>
      </c>
      <c r="O418" s="83" t="s">
        <v>827</v>
      </c>
    </row>
    <row r="419" spans="1:15" ht="18">
      <c r="A419" s="81">
        <f t="shared" si="6"/>
        <v>418</v>
      </c>
      <c r="B419" s="82" t="s">
        <v>1276</v>
      </c>
      <c r="C419" s="83" t="s">
        <v>34</v>
      </c>
      <c r="D419" s="83" t="s">
        <v>35</v>
      </c>
      <c r="E419" s="84">
        <v>40</v>
      </c>
      <c r="F419" s="85">
        <v>12.55</v>
      </c>
      <c r="G419" s="83" t="s">
        <v>1277</v>
      </c>
      <c r="H419" s="83" t="s">
        <v>419</v>
      </c>
      <c r="I419" s="85">
        <f>Planejamento2024[[#This Row],[Qnt de Itens]]*Planejamento2024[[#This Row],[Valor unitário]]</f>
        <v>502</v>
      </c>
      <c r="J419" s="83" t="s">
        <v>20</v>
      </c>
      <c r="K419" s="83" t="s">
        <v>415</v>
      </c>
      <c r="L419" s="86">
        <v>45292</v>
      </c>
      <c r="M419" s="83" t="s">
        <v>20</v>
      </c>
      <c r="N419" s="87" t="s">
        <v>1278</v>
      </c>
      <c r="O419" s="83" t="s">
        <v>827</v>
      </c>
    </row>
    <row r="420" spans="1:15" ht="18">
      <c r="A420" s="81">
        <f t="shared" si="6"/>
        <v>419</v>
      </c>
      <c r="B420" s="82" t="s">
        <v>1276</v>
      </c>
      <c r="C420" s="83" t="s">
        <v>34</v>
      </c>
      <c r="D420" s="83" t="s">
        <v>35</v>
      </c>
      <c r="E420" s="84">
        <v>40</v>
      </c>
      <c r="F420" s="85">
        <v>14</v>
      </c>
      <c r="G420" s="83" t="s">
        <v>1277</v>
      </c>
      <c r="H420" s="83" t="s">
        <v>419</v>
      </c>
      <c r="I420" s="85">
        <f>Planejamento2024[[#This Row],[Qnt de Itens]]*Planejamento2024[[#This Row],[Valor unitário]]</f>
        <v>560</v>
      </c>
      <c r="J420" s="83" t="s">
        <v>20</v>
      </c>
      <c r="K420" s="83" t="s">
        <v>415</v>
      </c>
      <c r="L420" s="86">
        <v>45292</v>
      </c>
      <c r="M420" s="83" t="s">
        <v>38</v>
      </c>
      <c r="N420" s="87" t="s">
        <v>951</v>
      </c>
      <c r="O420" s="83" t="s">
        <v>827</v>
      </c>
    </row>
    <row r="421" spans="1:15" ht="18">
      <c r="A421" s="81">
        <f t="shared" si="6"/>
        <v>420</v>
      </c>
      <c r="B421" s="82" t="s">
        <v>1279</v>
      </c>
      <c r="C421" s="83" t="s">
        <v>34</v>
      </c>
      <c r="D421" s="83" t="s">
        <v>35</v>
      </c>
      <c r="E421" s="84">
        <v>120</v>
      </c>
      <c r="F421" s="85">
        <v>12.62</v>
      </c>
      <c r="G421" s="83" t="s">
        <v>988</v>
      </c>
      <c r="H421" s="83" t="s">
        <v>419</v>
      </c>
      <c r="I421" s="85">
        <f>Planejamento2024[[#This Row],[Qnt de Itens]]*Planejamento2024[[#This Row],[Valor unitário]]</f>
        <v>1514.3999999999999</v>
      </c>
      <c r="J421" s="83" t="s">
        <v>20</v>
      </c>
      <c r="K421" s="83" t="s">
        <v>415</v>
      </c>
      <c r="L421" s="86">
        <v>45292</v>
      </c>
      <c r="M421" s="83" t="s">
        <v>20</v>
      </c>
      <c r="N421" s="87" t="s">
        <v>1278</v>
      </c>
      <c r="O421" s="83" t="s">
        <v>827</v>
      </c>
    </row>
    <row r="422" spans="1:15" ht="18">
      <c r="A422" s="81">
        <f t="shared" si="6"/>
        <v>421</v>
      </c>
      <c r="B422" s="82" t="s">
        <v>1280</v>
      </c>
      <c r="C422" s="83" t="s">
        <v>34</v>
      </c>
      <c r="D422" s="83" t="s">
        <v>35</v>
      </c>
      <c r="E422" s="84">
        <v>600</v>
      </c>
      <c r="F422" s="85">
        <v>60.08</v>
      </c>
      <c r="G422" s="83" t="s">
        <v>1277</v>
      </c>
      <c r="H422" s="83" t="s">
        <v>419</v>
      </c>
      <c r="I422" s="85">
        <f>Planejamento2024[[#This Row],[Qnt de Itens]]*Planejamento2024[[#This Row],[Valor unitário]]</f>
        <v>36048</v>
      </c>
      <c r="J422" s="83" t="s">
        <v>20</v>
      </c>
      <c r="K422" s="83" t="s">
        <v>415</v>
      </c>
      <c r="L422" s="86">
        <v>45292</v>
      </c>
      <c r="M422" s="83" t="s">
        <v>20</v>
      </c>
      <c r="N422" s="87" t="s">
        <v>1278</v>
      </c>
      <c r="O422" s="83" t="s">
        <v>827</v>
      </c>
    </row>
    <row r="423" spans="1:15" ht="18">
      <c r="A423" s="81">
        <f t="shared" si="6"/>
        <v>422</v>
      </c>
      <c r="B423" s="82" t="s">
        <v>1281</v>
      </c>
      <c r="C423" s="83" t="s">
        <v>34</v>
      </c>
      <c r="D423" s="83" t="s">
        <v>35</v>
      </c>
      <c r="E423" s="84">
        <v>10</v>
      </c>
      <c r="F423" s="85">
        <v>23.8</v>
      </c>
      <c r="G423" s="83" t="s">
        <v>885</v>
      </c>
      <c r="H423" s="83" t="s">
        <v>419</v>
      </c>
      <c r="I423" s="85">
        <f>Planejamento2024[[#This Row],[Qnt de Itens]]*Planejamento2024[[#This Row],[Valor unitário]]</f>
        <v>238</v>
      </c>
      <c r="J423" s="83" t="s">
        <v>20</v>
      </c>
      <c r="K423" s="83" t="s">
        <v>478</v>
      </c>
      <c r="L423" s="86">
        <v>45292</v>
      </c>
      <c r="M423" s="83" t="s">
        <v>20</v>
      </c>
      <c r="N423" s="87" t="s">
        <v>1278</v>
      </c>
      <c r="O423" s="83" t="s">
        <v>827</v>
      </c>
    </row>
    <row r="424" spans="1:15" ht="18">
      <c r="A424" s="81">
        <f t="shared" si="6"/>
        <v>423</v>
      </c>
      <c r="B424" s="82" t="s">
        <v>1282</v>
      </c>
      <c r="C424" s="83" t="s">
        <v>34</v>
      </c>
      <c r="D424" s="83" t="s">
        <v>35</v>
      </c>
      <c r="E424" s="84">
        <v>10</v>
      </c>
      <c r="F424" s="85">
        <v>52</v>
      </c>
      <c r="G424" s="83" t="s">
        <v>885</v>
      </c>
      <c r="H424" s="83" t="s">
        <v>419</v>
      </c>
      <c r="I424" s="85">
        <f>Planejamento2024[[#This Row],[Qnt de Itens]]*Planejamento2024[[#This Row],[Valor unitário]]</f>
        <v>520</v>
      </c>
      <c r="J424" s="83" t="s">
        <v>20</v>
      </c>
      <c r="K424" s="83" t="s">
        <v>492</v>
      </c>
      <c r="L424" s="86">
        <v>45292</v>
      </c>
      <c r="M424" s="83" t="s">
        <v>20</v>
      </c>
      <c r="N424" s="87" t="s">
        <v>1278</v>
      </c>
      <c r="O424" s="83" t="s">
        <v>827</v>
      </c>
    </row>
    <row r="425" spans="1:15" ht="27">
      <c r="A425" s="81">
        <f t="shared" si="6"/>
        <v>424</v>
      </c>
      <c r="B425" s="82" t="s">
        <v>1283</v>
      </c>
      <c r="C425" s="83" t="s">
        <v>34</v>
      </c>
      <c r="D425" s="83" t="s">
        <v>35</v>
      </c>
      <c r="E425" s="84">
        <v>60</v>
      </c>
      <c r="F425" s="85">
        <v>15.8</v>
      </c>
      <c r="G425" s="83" t="s">
        <v>988</v>
      </c>
      <c r="H425" s="83" t="s">
        <v>419</v>
      </c>
      <c r="I425" s="85">
        <f>Planejamento2024[[#This Row],[Qnt de Itens]]*Planejamento2024[[#This Row],[Valor unitário]]</f>
        <v>948</v>
      </c>
      <c r="J425" s="83" t="s">
        <v>20</v>
      </c>
      <c r="K425" s="83" t="s">
        <v>492</v>
      </c>
      <c r="L425" s="86">
        <v>45292</v>
      </c>
      <c r="M425" s="83" t="s">
        <v>20</v>
      </c>
      <c r="N425" s="87" t="s">
        <v>1278</v>
      </c>
      <c r="O425" s="83" t="s">
        <v>827</v>
      </c>
    </row>
    <row r="426" spans="1:15" ht="18">
      <c r="A426" s="81">
        <f t="shared" si="6"/>
        <v>425</v>
      </c>
      <c r="B426" s="82" t="s">
        <v>1284</v>
      </c>
      <c r="C426" s="83" t="s">
        <v>34</v>
      </c>
      <c r="D426" s="83" t="s">
        <v>35</v>
      </c>
      <c r="E426" s="84">
        <v>10</v>
      </c>
      <c r="F426" s="85">
        <v>98.74</v>
      </c>
      <c r="G426" s="83" t="s">
        <v>885</v>
      </c>
      <c r="H426" s="83" t="s">
        <v>419</v>
      </c>
      <c r="I426" s="85">
        <f>Planejamento2024[[#This Row],[Qnt de Itens]]*Planejamento2024[[#This Row],[Valor unitário]]</f>
        <v>987.4</v>
      </c>
      <c r="J426" s="83" t="s">
        <v>20</v>
      </c>
      <c r="K426" s="83" t="s">
        <v>492</v>
      </c>
      <c r="L426" s="86">
        <v>45292</v>
      </c>
      <c r="M426" s="83" t="s">
        <v>20</v>
      </c>
      <c r="N426" s="87" t="s">
        <v>1278</v>
      </c>
      <c r="O426" s="83" t="s">
        <v>827</v>
      </c>
    </row>
    <row r="427" spans="1:15" ht="27">
      <c r="A427" s="81">
        <f t="shared" si="6"/>
        <v>426</v>
      </c>
      <c r="B427" s="82" t="s">
        <v>1285</v>
      </c>
      <c r="C427" s="83" t="s">
        <v>34</v>
      </c>
      <c r="D427" s="83" t="s">
        <v>35</v>
      </c>
      <c r="E427" s="84">
        <v>20</v>
      </c>
      <c r="F427" s="85">
        <v>38.29</v>
      </c>
      <c r="G427" s="83" t="s">
        <v>885</v>
      </c>
      <c r="H427" s="83" t="s">
        <v>419</v>
      </c>
      <c r="I427" s="85">
        <f>Planejamento2024[[#This Row],[Qnt de Itens]]*Planejamento2024[[#This Row],[Valor unitário]]</f>
        <v>765.8</v>
      </c>
      <c r="J427" s="83" t="s">
        <v>20</v>
      </c>
      <c r="K427" s="83" t="s">
        <v>492</v>
      </c>
      <c r="L427" s="86">
        <v>45292</v>
      </c>
      <c r="M427" s="83" t="s">
        <v>20</v>
      </c>
      <c r="N427" s="87" t="s">
        <v>1278</v>
      </c>
      <c r="O427" s="83" t="s">
        <v>827</v>
      </c>
    </row>
    <row r="428" spans="1:15" ht="18">
      <c r="A428" s="81">
        <f t="shared" si="6"/>
        <v>427</v>
      </c>
      <c r="B428" s="82" t="s">
        <v>1286</v>
      </c>
      <c r="C428" s="83" t="s">
        <v>34</v>
      </c>
      <c r="D428" s="83" t="s">
        <v>35</v>
      </c>
      <c r="E428" s="84">
        <v>5</v>
      </c>
      <c r="F428" s="85">
        <v>263.66000000000003</v>
      </c>
      <c r="G428" s="83" t="s">
        <v>885</v>
      </c>
      <c r="H428" s="83" t="s">
        <v>419</v>
      </c>
      <c r="I428" s="85">
        <f>Planejamento2024[[#This Row],[Qnt de Itens]]*Planejamento2024[[#This Row],[Valor unitário]]</f>
        <v>1318.3000000000002</v>
      </c>
      <c r="J428" s="83" t="s">
        <v>20</v>
      </c>
      <c r="K428" s="83" t="s">
        <v>492</v>
      </c>
      <c r="L428" s="86">
        <v>45292</v>
      </c>
      <c r="M428" s="83" t="s">
        <v>20</v>
      </c>
      <c r="N428" s="87" t="s">
        <v>1278</v>
      </c>
      <c r="O428" s="83" t="s">
        <v>827</v>
      </c>
    </row>
    <row r="429" spans="1:15" ht="27">
      <c r="A429" s="81">
        <f t="shared" si="6"/>
        <v>428</v>
      </c>
      <c r="B429" s="82" t="s">
        <v>1287</v>
      </c>
      <c r="C429" s="83" t="s">
        <v>34</v>
      </c>
      <c r="D429" s="83" t="s">
        <v>35</v>
      </c>
      <c r="E429" s="84">
        <v>500</v>
      </c>
      <c r="F429" s="85">
        <v>5.75</v>
      </c>
      <c r="G429" s="83" t="s">
        <v>890</v>
      </c>
      <c r="H429" s="83" t="s">
        <v>419</v>
      </c>
      <c r="I429" s="85">
        <f>Planejamento2024[[#This Row],[Qnt de Itens]]*Planejamento2024[[#This Row],[Valor unitário]]</f>
        <v>2875</v>
      </c>
      <c r="J429" s="83" t="s">
        <v>20</v>
      </c>
      <c r="K429" s="83" t="s">
        <v>415</v>
      </c>
      <c r="L429" s="86">
        <v>45292</v>
      </c>
      <c r="M429" s="83" t="s">
        <v>38</v>
      </c>
      <c r="N429" s="87" t="s">
        <v>951</v>
      </c>
      <c r="O429" s="83" t="s">
        <v>827</v>
      </c>
    </row>
    <row r="430" spans="1:15" ht="27">
      <c r="A430" s="81">
        <f t="shared" si="6"/>
        <v>429</v>
      </c>
      <c r="B430" s="82" t="s">
        <v>1288</v>
      </c>
      <c r="C430" s="83" t="s">
        <v>34</v>
      </c>
      <c r="D430" s="83" t="s">
        <v>35</v>
      </c>
      <c r="E430" s="84">
        <v>500</v>
      </c>
      <c r="F430" s="85">
        <v>6.09</v>
      </c>
      <c r="G430" s="83" t="s">
        <v>890</v>
      </c>
      <c r="H430" s="83" t="s">
        <v>419</v>
      </c>
      <c r="I430" s="85">
        <f>Planejamento2024[[#This Row],[Qnt de Itens]]*Planejamento2024[[#This Row],[Valor unitário]]</f>
        <v>3045</v>
      </c>
      <c r="J430" s="83" t="s">
        <v>20</v>
      </c>
      <c r="K430" s="83" t="s">
        <v>415</v>
      </c>
      <c r="L430" s="86">
        <v>45292</v>
      </c>
      <c r="M430" s="83" t="s">
        <v>20</v>
      </c>
      <c r="N430" s="87" t="s">
        <v>1278</v>
      </c>
      <c r="O430" s="83" t="s">
        <v>827</v>
      </c>
    </row>
    <row r="431" spans="1:15" ht="27">
      <c r="A431" s="81">
        <f t="shared" si="6"/>
        <v>430</v>
      </c>
      <c r="B431" s="82" t="s">
        <v>1289</v>
      </c>
      <c r="C431" s="83" t="s">
        <v>34</v>
      </c>
      <c r="D431" s="83" t="s">
        <v>35</v>
      </c>
      <c r="E431" s="84">
        <v>500</v>
      </c>
      <c r="F431" s="85">
        <v>3.89</v>
      </c>
      <c r="G431" s="83" t="s">
        <v>890</v>
      </c>
      <c r="H431" s="83" t="s">
        <v>419</v>
      </c>
      <c r="I431" s="85">
        <f>Planejamento2024[[#This Row],[Qnt de Itens]]*Planejamento2024[[#This Row],[Valor unitário]]</f>
        <v>1945</v>
      </c>
      <c r="J431" s="83" t="s">
        <v>20</v>
      </c>
      <c r="K431" s="83" t="s">
        <v>415</v>
      </c>
      <c r="L431" s="86">
        <v>45292</v>
      </c>
      <c r="M431" s="83" t="s">
        <v>38</v>
      </c>
      <c r="N431" s="87" t="s">
        <v>951</v>
      </c>
      <c r="O431" s="83" t="s">
        <v>827</v>
      </c>
    </row>
    <row r="432" spans="1:15" ht="27">
      <c r="A432" s="81">
        <f t="shared" si="6"/>
        <v>431</v>
      </c>
      <c r="B432" s="82" t="s">
        <v>1290</v>
      </c>
      <c r="C432" s="83" t="s">
        <v>34</v>
      </c>
      <c r="D432" s="83" t="s">
        <v>35</v>
      </c>
      <c r="E432" s="84">
        <v>500</v>
      </c>
      <c r="F432" s="85">
        <v>3.78</v>
      </c>
      <c r="G432" s="83" t="s">
        <v>890</v>
      </c>
      <c r="H432" s="83" t="s">
        <v>419</v>
      </c>
      <c r="I432" s="85">
        <f>Planejamento2024[[#This Row],[Qnt de Itens]]*Planejamento2024[[#This Row],[Valor unitário]]</f>
        <v>1890</v>
      </c>
      <c r="J432" s="83" t="s">
        <v>20</v>
      </c>
      <c r="K432" s="83" t="s">
        <v>415</v>
      </c>
      <c r="L432" s="86">
        <v>45292</v>
      </c>
      <c r="M432" s="83" t="s">
        <v>20</v>
      </c>
      <c r="N432" s="87" t="s">
        <v>1278</v>
      </c>
      <c r="O432" s="83" t="s">
        <v>827</v>
      </c>
    </row>
    <row r="433" spans="1:15" ht="36">
      <c r="A433" s="81">
        <f t="shared" si="6"/>
        <v>432</v>
      </c>
      <c r="B433" s="82" t="s">
        <v>1291</v>
      </c>
      <c r="C433" s="83" t="s">
        <v>34</v>
      </c>
      <c r="D433" s="83" t="s">
        <v>35</v>
      </c>
      <c r="E433" s="84">
        <v>24</v>
      </c>
      <c r="F433" s="85">
        <v>59.52</v>
      </c>
      <c r="G433" s="83" t="s">
        <v>1277</v>
      </c>
      <c r="H433" s="83" t="s">
        <v>419</v>
      </c>
      <c r="I433" s="85">
        <f>Planejamento2024[[#This Row],[Qnt de Itens]]*Planejamento2024[[#This Row],[Valor unitário]]</f>
        <v>1428.48</v>
      </c>
      <c r="J433" s="83" t="s">
        <v>20</v>
      </c>
      <c r="K433" s="83" t="s">
        <v>492</v>
      </c>
      <c r="L433" s="86">
        <v>45292</v>
      </c>
      <c r="M433" s="83" t="s">
        <v>20</v>
      </c>
      <c r="N433" s="87" t="s">
        <v>1292</v>
      </c>
      <c r="O433" s="83" t="s">
        <v>827</v>
      </c>
    </row>
    <row r="434" spans="1:15" ht="36">
      <c r="A434" s="81">
        <f t="shared" si="6"/>
        <v>433</v>
      </c>
      <c r="B434" s="82" t="s">
        <v>1293</v>
      </c>
      <c r="C434" s="83" t="s">
        <v>34</v>
      </c>
      <c r="D434" s="83" t="s">
        <v>35</v>
      </c>
      <c r="E434" s="84">
        <v>24</v>
      </c>
      <c r="F434" s="85">
        <v>74.44</v>
      </c>
      <c r="G434" s="83" t="s">
        <v>1277</v>
      </c>
      <c r="H434" s="83" t="s">
        <v>419</v>
      </c>
      <c r="I434" s="85">
        <f>Planejamento2024[[#This Row],[Qnt de Itens]]*Planejamento2024[[#This Row],[Valor unitário]]</f>
        <v>1786.56</v>
      </c>
      <c r="J434" s="83" t="s">
        <v>20</v>
      </c>
      <c r="K434" s="83" t="s">
        <v>492</v>
      </c>
      <c r="L434" s="86">
        <v>45292</v>
      </c>
      <c r="M434" s="83" t="s">
        <v>20</v>
      </c>
      <c r="N434" s="87" t="s">
        <v>1278</v>
      </c>
      <c r="O434" s="83" t="s">
        <v>827</v>
      </c>
    </row>
    <row r="435" spans="1:15" ht="18">
      <c r="A435" s="81">
        <f t="shared" si="6"/>
        <v>434</v>
      </c>
      <c r="B435" s="82" t="s">
        <v>1294</v>
      </c>
      <c r="C435" s="83" t="s">
        <v>34</v>
      </c>
      <c r="D435" s="83" t="s">
        <v>35</v>
      </c>
      <c r="E435" s="84">
        <v>36</v>
      </c>
      <c r="F435" s="85">
        <v>17.86</v>
      </c>
      <c r="G435" s="83" t="s">
        <v>1277</v>
      </c>
      <c r="H435" s="83" t="s">
        <v>419</v>
      </c>
      <c r="I435" s="85">
        <f>Planejamento2024[[#This Row],[Qnt de Itens]]*Planejamento2024[[#This Row],[Valor unitário]]</f>
        <v>642.96</v>
      </c>
      <c r="J435" s="83" t="s">
        <v>20</v>
      </c>
      <c r="K435" s="83" t="s">
        <v>492</v>
      </c>
      <c r="L435" s="86">
        <v>45292</v>
      </c>
      <c r="M435" s="83" t="s">
        <v>20</v>
      </c>
      <c r="N435" s="87" t="s">
        <v>1278</v>
      </c>
      <c r="O435" s="83" t="s">
        <v>827</v>
      </c>
    </row>
    <row r="436" spans="1:15" ht="27">
      <c r="A436" s="81">
        <f t="shared" si="6"/>
        <v>435</v>
      </c>
      <c r="B436" s="82" t="s">
        <v>1295</v>
      </c>
      <c r="C436" s="83" t="s">
        <v>34</v>
      </c>
      <c r="D436" s="83" t="s">
        <v>35</v>
      </c>
      <c r="E436" s="84">
        <v>100</v>
      </c>
      <c r="F436" s="85">
        <v>5.05</v>
      </c>
      <c r="G436" s="83" t="s">
        <v>988</v>
      </c>
      <c r="H436" s="83" t="s">
        <v>419</v>
      </c>
      <c r="I436" s="85">
        <f>Planejamento2024[[#This Row],[Qnt de Itens]]*Planejamento2024[[#This Row],[Valor unitário]]</f>
        <v>505</v>
      </c>
      <c r="J436" s="83" t="s">
        <v>20</v>
      </c>
      <c r="K436" s="83" t="s">
        <v>478</v>
      </c>
      <c r="L436" s="86">
        <v>45292</v>
      </c>
      <c r="M436" s="83" t="s">
        <v>20</v>
      </c>
      <c r="N436" s="87" t="s">
        <v>1278</v>
      </c>
      <c r="O436" s="83" t="s">
        <v>827</v>
      </c>
    </row>
    <row r="437" spans="1:15" ht="18">
      <c r="A437" s="81">
        <f t="shared" si="6"/>
        <v>436</v>
      </c>
      <c r="B437" s="82" t="s">
        <v>1296</v>
      </c>
      <c r="C437" s="83" t="s">
        <v>34</v>
      </c>
      <c r="D437" s="83" t="s">
        <v>35</v>
      </c>
      <c r="E437" s="84">
        <v>5</v>
      </c>
      <c r="F437" s="85">
        <v>25.33</v>
      </c>
      <c r="G437" s="83" t="s">
        <v>1277</v>
      </c>
      <c r="H437" s="83" t="s">
        <v>419</v>
      </c>
      <c r="I437" s="85">
        <f>Planejamento2024[[#This Row],[Qnt de Itens]]*Planejamento2024[[#This Row],[Valor unitário]]</f>
        <v>126.64999999999999</v>
      </c>
      <c r="J437" s="83" t="s">
        <v>20</v>
      </c>
      <c r="K437" s="83" t="s">
        <v>415</v>
      </c>
      <c r="L437" s="86">
        <v>45292</v>
      </c>
      <c r="M437" s="83" t="s">
        <v>20</v>
      </c>
      <c r="N437" s="87" t="s">
        <v>1278</v>
      </c>
      <c r="O437" s="83" t="s">
        <v>827</v>
      </c>
    </row>
    <row r="438" spans="1:15" ht="18">
      <c r="A438" s="81">
        <f t="shared" si="6"/>
        <v>437</v>
      </c>
      <c r="B438" s="82" t="s">
        <v>1297</v>
      </c>
      <c r="C438" s="83" t="s">
        <v>34</v>
      </c>
      <c r="D438" s="83" t="s">
        <v>35</v>
      </c>
      <c r="E438" s="84">
        <v>60</v>
      </c>
      <c r="F438" s="85">
        <v>3.12</v>
      </c>
      <c r="G438" s="83" t="s">
        <v>988</v>
      </c>
      <c r="H438" s="83" t="s">
        <v>419</v>
      </c>
      <c r="I438" s="85">
        <f>Planejamento2024[[#This Row],[Qnt de Itens]]*Planejamento2024[[#This Row],[Valor unitário]]</f>
        <v>187.20000000000002</v>
      </c>
      <c r="J438" s="83" t="s">
        <v>20</v>
      </c>
      <c r="K438" s="83" t="s">
        <v>415</v>
      </c>
      <c r="L438" s="86">
        <v>45292</v>
      </c>
      <c r="M438" s="83" t="s">
        <v>20</v>
      </c>
      <c r="N438" s="87" t="s">
        <v>1278</v>
      </c>
      <c r="O438" s="83" t="s">
        <v>827</v>
      </c>
    </row>
    <row r="439" spans="1:15" ht="18">
      <c r="A439" s="81">
        <f t="shared" si="6"/>
        <v>438</v>
      </c>
      <c r="B439" s="82" t="s">
        <v>62</v>
      </c>
      <c r="C439" s="83" t="s">
        <v>34</v>
      </c>
      <c r="D439" s="83" t="s">
        <v>35</v>
      </c>
      <c r="E439" s="84">
        <v>10</v>
      </c>
      <c r="F439" s="85">
        <v>5.31</v>
      </c>
      <c r="G439" s="83" t="s">
        <v>885</v>
      </c>
      <c r="H439" s="83" t="s">
        <v>419</v>
      </c>
      <c r="I439" s="85">
        <f>Planejamento2024[[#This Row],[Qnt de Itens]]*Planejamento2024[[#This Row],[Valor unitário]]</f>
        <v>53.099999999999994</v>
      </c>
      <c r="J439" s="83" t="s">
        <v>20</v>
      </c>
      <c r="K439" s="83" t="s">
        <v>492</v>
      </c>
      <c r="L439" s="86">
        <v>45292</v>
      </c>
      <c r="M439" s="83" t="s">
        <v>20</v>
      </c>
      <c r="N439" s="87" t="s">
        <v>1278</v>
      </c>
      <c r="O439" s="83" t="s">
        <v>827</v>
      </c>
    </row>
    <row r="440" spans="1:15" ht="18">
      <c r="A440" s="81">
        <f t="shared" si="6"/>
        <v>439</v>
      </c>
      <c r="B440" s="82" t="s">
        <v>625</v>
      </c>
      <c r="C440" s="83" t="s">
        <v>34</v>
      </c>
      <c r="D440" s="83" t="s">
        <v>35</v>
      </c>
      <c r="E440" s="84">
        <v>5</v>
      </c>
      <c r="F440" s="85">
        <v>40</v>
      </c>
      <c r="G440" s="83" t="s">
        <v>885</v>
      </c>
      <c r="H440" s="83" t="s">
        <v>419</v>
      </c>
      <c r="I440" s="85">
        <f>Planejamento2024[[#This Row],[Qnt de Itens]]*Planejamento2024[[#This Row],[Valor unitário]]</f>
        <v>200</v>
      </c>
      <c r="J440" s="83" t="s">
        <v>20</v>
      </c>
      <c r="K440" s="83" t="s">
        <v>492</v>
      </c>
      <c r="L440" s="86">
        <v>45292</v>
      </c>
      <c r="M440" s="83" t="s">
        <v>20</v>
      </c>
      <c r="N440" s="87" t="s">
        <v>1278</v>
      </c>
      <c r="O440" s="83" t="s">
        <v>827</v>
      </c>
    </row>
    <row r="441" spans="1:15" ht="18">
      <c r="A441" s="81">
        <f t="shared" si="6"/>
        <v>440</v>
      </c>
      <c r="B441" s="82" t="s">
        <v>64</v>
      </c>
      <c r="C441" s="83" t="s">
        <v>34</v>
      </c>
      <c r="D441" s="83" t="s">
        <v>35</v>
      </c>
      <c r="E441" s="84">
        <v>36</v>
      </c>
      <c r="F441" s="85">
        <v>3.44</v>
      </c>
      <c r="G441" s="83" t="s">
        <v>890</v>
      </c>
      <c r="H441" s="83" t="s">
        <v>419</v>
      </c>
      <c r="I441" s="85">
        <f>Planejamento2024[[#This Row],[Qnt de Itens]]*Planejamento2024[[#This Row],[Valor unitário]]</f>
        <v>123.84</v>
      </c>
      <c r="J441" s="83" t="s">
        <v>20</v>
      </c>
      <c r="K441" s="83" t="s">
        <v>492</v>
      </c>
      <c r="L441" s="86">
        <v>45292</v>
      </c>
      <c r="M441" s="83" t="s">
        <v>20</v>
      </c>
      <c r="N441" s="87" t="s">
        <v>1278</v>
      </c>
      <c r="O441" s="83" t="s">
        <v>827</v>
      </c>
    </row>
    <row r="442" spans="1:15" ht="27">
      <c r="A442" s="81">
        <f t="shared" si="6"/>
        <v>441</v>
      </c>
      <c r="B442" s="82" t="s">
        <v>65</v>
      </c>
      <c r="C442" s="83" t="s">
        <v>34</v>
      </c>
      <c r="D442" s="83" t="s">
        <v>35</v>
      </c>
      <c r="E442" s="84">
        <v>60</v>
      </c>
      <c r="F442" s="85">
        <v>2.21</v>
      </c>
      <c r="G442" s="83" t="s">
        <v>885</v>
      </c>
      <c r="H442" s="83" t="s">
        <v>419</v>
      </c>
      <c r="I442" s="85">
        <f>Planejamento2024[[#This Row],[Qnt de Itens]]*Planejamento2024[[#This Row],[Valor unitário]]</f>
        <v>132.6</v>
      </c>
      <c r="J442" s="83" t="s">
        <v>20</v>
      </c>
      <c r="K442" s="83" t="s">
        <v>415</v>
      </c>
      <c r="L442" s="86">
        <v>45292</v>
      </c>
      <c r="M442" s="83" t="s">
        <v>20</v>
      </c>
      <c r="N442" s="87" t="s">
        <v>1278</v>
      </c>
      <c r="O442" s="83" t="s">
        <v>827</v>
      </c>
    </row>
    <row r="443" spans="1:15" ht="18">
      <c r="A443" s="81">
        <f t="shared" si="6"/>
        <v>442</v>
      </c>
      <c r="B443" s="82" t="s">
        <v>1298</v>
      </c>
      <c r="C443" s="83" t="s">
        <v>34</v>
      </c>
      <c r="D443" s="83" t="s">
        <v>35</v>
      </c>
      <c r="E443" s="84">
        <v>200</v>
      </c>
      <c r="F443" s="85">
        <v>17.420000000000002</v>
      </c>
      <c r="G443" s="83" t="s">
        <v>890</v>
      </c>
      <c r="H443" s="83" t="s">
        <v>419</v>
      </c>
      <c r="I443" s="85">
        <f>Planejamento2024[[#This Row],[Qnt de Itens]]*Planejamento2024[[#This Row],[Valor unitário]]</f>
        <v>3484.0000000000005</v>
      </c>
      <c r="J443" s="83" t="s">
        <v>20</v>
      </c>
      <c r="K443" s="83" t="s">
        <v>478</v>
      </c>
      <c r="L443" s="86">
        <v>45292</v>
      </c>
      <c r="M443" s="83" t="s">
        <v>20</v>
      </c>
      <c r="N443" s="87" t="s">
        <v>1278</v>
      </c>
      <c r="O443" s="83" t="s">
        <v>827</v>
      </c>
    </row>
    <row r="444" spans="1:15" ht="36">
      <c r="A444" s="81">
        <f t="shared" si="6"/>
        <v>443</v>
      </c>
      <c r="B444" s="82" t="s">
        <v>1299</v>
      </c>
      <c r="C444" s="83" t="s">
        <v>34</v>
      </c>
      <c r="D444" s="83" t="s">
        <v>35</v>
      </c>
      <c r="E444" s="84">
        <v>100</v>
      </c>
      <c r="F444" s="85">
        <v>5.96</v>
      </c>
      <c r="G444" s="83" t="s">
        <v>890</v>
      </c>
      <c r="H444" s="83" t="s">
        <v>419</v>
      </c>
      <c r="I444" s="85">
        <f>Planejamento2024[[#This Row],[Qnt de Itens]]*Planejamento2024[[#This Row],[Valor unitário]]</f>
        <v>596</v>
      </c>
      <c r="J444" s="83" t="s">
        <v>20</v>
      </c>
      <c r="K444" s="83" t="s">
        <v>492</v>
      </c>
      <c r="L444" s="86">
        <v>45292</v>
      </c>
      <c r="M444" s="83" t="s">
        <v>20</v>
      </c>
      <c r="N444" s="87" t="s">
        <v>1278</v>
      </c>
      <c r="O444" s="83" t="s">
        <v>827</v>
      </c>
    </row>
    <row r="445" spans="1:15" ht="54">
      <c r="A445" s="81">
        <f t="shared" si="6"/>
        <v>444</v>
      </c>
      <c r="B445" s="82" t="s">
        <v>1300</v>
      </c>
      <c r="C445" s="83" t="s">
        <v>34</v>
      </c>
      <c r="D445" s="83" t="s">
        <v>35</v>
      </c>
      <c r="E445" s="84">
        <v>550</v>
      </c>
      <c r="F445" s="88">
        <v>153.07</v>
      </c>
      <c r="G445" s="83" t="s">
        <v>510</v>
      </c>
      <c r="H445" s="83" t="s">
        <v>419</v>
      </c>
      <c r="I445" s="85">
        <f>Planejamento2024[[#This Row],[Qnt de Itens]]*Planejamento2024[[#This Row],[Valor unitário]]</f>
        <v>84188.5</v>
      </c>
      <c r="J445" s="83" t="s">
        <v>20</v>
      </c>
      <c r="K445" s="83" t="s">
        <v>415</v>
      </c>
      <c r="L445" s="86">
        <v>45292</v>
      </c>
      <c r="M445" s="83" t="s">
        <v>38</v>
      </c>
      <c r="N445" s="87" t="s">
        <v>951</v>
      </c>
      <c r="O445" s="83" t="s">
        <v>827</v>
      </c>
    </row>
    <row r="446" spans="1:15" ht="18">
      <c r="A446" s="81">
        <f t="shared" si="6"/>
        <v>445</v>
      </c>
      <c r="B446" s="82" t="s">
        <v>1301</v>
      </c>
      <c r="C446" s="83" t="s">
        <v>34</v>
      </c>
      <c r="D446" s="83" t="s">
        <v>35</v>
      </c>
      <c r="E446" s="84">
        <v>150</v>
      </c>
      <c r="F446" s="85">
        <v>13</v>
      </c>
      <c r="G446" s="83" t="s">
        <v>885</v>
      </c>
      <c r="H446" s="83" t="s">
        <v>419</v>
      </c>
      <c r="I446" s="85">
        <f>Planejamento2024[[#This Row],[Qnt de Itens]]*Planejamento2024[[#This Row],[Valor unitário]]</f>
        <v>1950</v>
      </c>
      <c r="J446" s="83" t="s">
        <v>20</v>
      </c>
      <c r="K446" s="83" t="s">
        <v>478</v>
      </c>
      <c r="L446" s="86">
        <v>45292</v>
      </c>
      <c r="M446" s="83" t="s">
        <v>20</v>
      </c>
      <c r="N446" s="87" t="s">
        <v>1278</v>
      </c>
      <c r="O446" s="83" t="s">
        <v>827</v>
      </c>
    </row>
    <row r="447" spans="1:15" ht="18">
      <c r="A447" s="81">
        <f t="shared" si="6"/>
        <v>446</v>
      </c>
      <c r="B447" s="82" t="s">
        <v>1302</v>
      </c>
      <c r="C447" s="83" t="s">
        <v>34</v>
      </c>
      <c r="D447" s="83" t="s">
        <v>35</v>
      </c>
      <c r="E447" s="84">
        <v>30</v>
      </c>
      <c r="F447" s="85">
        <v>5.98</v>
      </c>
      <c r="G447" s="83" t="s">
        <v>988</v>
      </c>
      <c r="H447" s="83" t="s">
        <v>419</v>
      </c>
      <c r="I447" s="85">
        <f>Planejamento2024[[#This Row],[Qnt de Itens]]*Planejamento2024[[#This Row],[Valor unitário]]</f>
        <v>179.4</v>
      </c>
      <c r="J447" s="83" t="s">
        <v>20</v>
      </c>
      <c r="K447" s="83" t="s">
        <v>492</v>
      </c>
      <c r="L447" s="86">
        <v>45292</v>
      </c>
      <c r="M447" s="83" t="s">
        <v>20</v>
      </c>
      <c r="N447" s="87" t="s">
        <v>1278</v>
      </c>
      <c r="O447" s="83" t="s">
        <v>827</v>
      </c>
    </row>
    <row r="448" spans="1:15" ht="18">
      <c r="A448" s="81">
        <f t="shared" si="6"/>
        <v>447</v>
      </c>
      <c r="B448" s="82" t="s">
        <v>1303</v>
      </c>
      <c r="C448" s="83" t="s">
        <v>34</v>
      </c>
      <c r="D448" s="83" t="s">
        <v>35</v>
      </c>
      <c r="E448" s="84">
        <v>50</v>
      </c>
      <c r="F448" s="85">
        <v>47</v>
      </c>
      <c r="G448" s="83" t="s">
        <v>1277</v>
      </c>
      <c r="H448" s="83" t="s">
        <v>419</v>
      </c>
      <c r="I448" s="85">
        <f>Planejamento2024[[#This Row],[Qnt de Itens]]*Planejamento2024[[#This Row],[Valor unitário]]</f>
        <v>2350</v>
      </c>
      <c r="J448" s="83" t="s">
        <v>20</v>
      </c>
      <c r="K448" s="83" t="s">
        <v>492</v>
      </c>
      <c r="L448" s="86">
        <v>45292</v>
      </c>
      <c r="M448" s="83" t="s">
        <v>20</v>
      </c>
      <c r="N448" s="87" t="s">
        <v>1278</v>
      </c>
      <c r="O448" s="83" t="s">
        <v>827</v>
      </c>
    </row>
    <row r="449" spans="1:15" ht="18">
      <c r="A449" s="81">
        <f t="shared" si="6"/>
        <v>448</v>
      </c>
      <c r="B449" s="82" t="s">
        <v>1304</v>
      </c>
      <c r="C449" s="83" t="s">
        <v>34</v>
      </c>
      <c r="D449" s="83" t="s">
        <v>35</v>
      </c>
      <c r="E449" s="84">
        <v>450</v>
      </c>
      <c r="F449" s="85">
        <v>165</v>
      </c>
      <c r="G449" s="83" t="s">
        <v>1277</v>
      </c>
      <c r="H449" s="83" t="s">
        <v>419</v>
      </c>
      <c r="I449" s="85">
        <f>Planejamento2024[[#This Row],[Qnt de Itens]]*Planejamento2024[[#This Row],[Valor unitário]]</f>
        <v>74250</v>
      </c>
      <c r="J449" s="83" t="s">
        <v>20</v>
      </c>
      <c r="K449" s="83" t="s">
        <v>415</v>
      </c>
      <c r="L449" s="86">
        <v>45292</v>
      </c>
      <c r="M449" s="83" t="s">
        <v>38</v>
      </c>
      <c r="N449" s="87" t="s">
        <v>951</v>
      </c>
      <c r="O449" s="83" t="s">
        <v>827</v>
      </c>
    </row>
    <row r="450" spans="1:15" ht="27">
      <c r="A450" s="81">
        <f t="shared" ref="A450:A513" si="7">ROW(A449)</f>
        <v>449</v>
      </c>
      <c r="B450" s="82" t="s">
        <v>1305</v>
      </c>
      <c r="C450" s="83" t="s">
        <v>34</v>
      </c>
      <c r="D450" s="83" t="s">
        <v>35</v>
      </c>
      <c r="E450" s="84">
        <v>50</v>
      </c>
      <c r="F450" s="85">
        <v>59.59</v>
      </c>
      <c r="G450" s="83" t="s">
        <v>1277</v>
      </c>
      <c r="H450" s="83" t="s">
        <v>419</v>
      </c>
      <c r="I450" s="85">
        <f>Planejamento2024[[#This Row],[Qnt de Itens]]*Planejamento2024[[#This Row],[Valor unitário]]</f>
        <v>2979.5</v>
      </c>
      <c r="J450" s="83" t="s">
        <v>20</v>
      </c>
      <c r="K450" s="83" t="s">
        <v>492</v>
      </c>
      <c r="L450" s="86">
        <v>45292</v>
      </c>
      <c r="M450" s="83" t="s">
        <v>20</v>
      </c>
      <c r="N450" s="87" t="s">
        <v>1278</v>
      </c>
      <c r="O450" s="83" t="s">
        <v>827</v>
      </c>
    </row>
    <row r="451" spans="1:15" ht="27">
      <c r="A451" s="81">
        <f t="shared" si="7"/>
        <v>450</v>
      </c>
      <c r="B451" s="82" t="s">
        <v>1306</v>
      </c>
      <c r="C451" s="83" t="s">
        <v>25</v>
      </c>
      <c r="D451" s="83" t="s">
        <v>17</v>
      </c>
      <c r="E451" s="84">
        <v>12</v>
      </c>
      <c r="F451" s="97">
        <v>511755.3775</v>
      </c>
      <c r="G451" s="83" t="s">
        <v>18</v>
      </c>
      <c r="H451" s="83" t="s">
        <v>419</v>
      </c>
      <c r="I451" s="85">
        <f>Planejamento2024[[#This Row],[Qnt de Itens]]*Planejamento2024[[#This Row],[Valor unitário]]</f>
        <v>6141064.5300000003</v>
      </c>
      <c r="J451" s="83" t="s">
        <v>20</v>
      </c>
      <c r="K451" s="83" t="s">
        <v>415</v>
      </c>
      <c r="L451" s="86">
        <v>45292</v>
      </c>
      <c r="M451" s="83" t="s">
        <v>38</v>
      </c>
      <c r="N451" s="87" t="s">
        <v>1307</v>
      </c>
      <c r="O451" s="83" t="s">
        <v>827</v>
      </c>
    </row>
    <row r="452" spans="1:15" ht="18">
      <c r="A452" s="81">
        <f t="shared" si="7"/>
        <v>451</v>
      </c>
      <c r="B452" s="82" t="s">
        <v>1308</v>
      </c>
      <c r="C452" s="83" t="s">
        <v>34</v>
      </c>
      <c r="D452" s="83" t="s">
        <v>35</v>
      </c>
      <c r="E452" s="84">
        <v>40</v>
      </c>
      <c r="F452" s="85">
        <v>48.88</v>
      </c>
      <c r="G452" s="83" t="s">
        <v>885</v>
      </c>
      <c r="H452" s="83" t="s">
        <v>419</v>
      </c>
      <c r="I452" s="85">
        <f>Planejamento2024[[#This Row],[Qnt de Itens]]*Planejamento2024[[#This Row],[Valor unitário]]</f>
        <v>1955.2</v>
      </c>
      <c r="J452" s="83" t="s">
        <v>20</v>
      </c>
      <c r="K452" s="83" t="s">
        <v>492</v>
      </c>
      <c r="L452" s="86">
        <v>45292</v>
      </c>
      <c r="M452" s="83" t="s">
        <v>20</v>
      </c>
      <c r="N452" s="87" t="s">
        <v>1278</v>
      </c>
      <c r="O452" s="83" t="s">
        <v>827</v>
      </c>
    </row>
    <row r="453" spans="1:15" ht="18">
      <c r="A453" s="81">
        <f t="shared" si="7"/>
        <v>452</v>
      </c>
      <c r="B453" s="82" t="s">
        <v>1309</v>
      </c>
      <c r="C453" s="83" t="s">
        <v>34</v>
      </c>
      <c r="D453" s="83" t="s">
        <v>35</v>
      </c>
      <c r="E453" s="84">
        <v>50</v>
      </c>
      <c r="F453" s="85">
        <v>284.43</v>
      </c>
      <c r="G453" s="83" t="s">
        <v>885</v>
      </c>
      <c r="H453" s="83" t="s">
        <v>419</v>
      </c>
      <c r="I453" s="85">
        <f>Planejamento2024[[#This Row],[Qnt de Itens]]*Planejamento2024[[#This Row],[Valor unitário]]</f>
        <v>14221.5</v>
      </c>
      <c r="J453" s="83" t="s">
        <v>20</v>
      </c>
      <c r="K453" s="83" t="s">
        <v>492</v>
      </c>
      <c r="L453" s="86">
        <v>45292</v>
      </c>
      <c r="M453" s="83" t="s">
        <v>20</v>
      </c>
      <c r="N453" s="87" t="s">
        <v>1278</v>
      </c>
      <c r="O453" s="83" t="s">
        <v>827</v>
      </c>
    </row>
    <row r="454" spans="1:15" ht="18">
      <c r="A454" s="81">
        <f t="shared" si="7"/>
        <v>453</v>
      </c>
      <c r="B454" s="82" t="s">
        <v>1310</v>
      </c>
      <c r="C454" s="83" t="s">
        <v>34</v>
      </c>
      <c r="D454" s="83" t="s">
        <v>35</v>
      </c>
      <c r="E454" s="84">
        <v>10</v>
      </c>
      <c r="F454" s="85">
        <v>356.38</v>
      </c>
      <c r="G454" s="83" t="s">
        <v>885</v>
      </c>
      <c r="H454" s="83" t="s">
        <v>419</v>
      </c>
      <c r="I454" s="85">
        <f>Planejamento2024[[#This Row],[Qnt de Itens]]*Planejamento2024[[#This Row],[Valor unitário]]</f>
        <v>3563.8</v>
      </c>
      <c r="J454" s="83" t="s">
        <v>20</v>
      </c>
      <c r="K454" s="83" t="s">
        <v>492</v>
      </c>
      <c r="L454" s="86">
        <v>45292</v>
      </c>
      <c r="M454" s="83" t="s">
        <v>20</v>
      </c>
      <c r="N454" s="87" t="s">
        <v>1278</v>
      </c>
      <c r="O454" s="83" t="s">
        <v>827</v>
      </c>
    </row>
    <row r="455" spans="1:15" ht="18">
      <c r="A455" s="81">
        <f t="shared" si="7"/>
        <v>454</v>
      </c>
      <c r="B455" s="82" t="s">
        <v>1311</v>
      </c>
      <c r="C455" s="83" t="s">
        <v>34</v>
      </c>
      <c r="D455" s="83" t="s">
        <v>35</v>
      </c>
      <c r="E455" s="84">
        <v>5</v>
      </c>
      <c r="F455" s="85">
        <v>77.17</v>
      </c>
      <c r="G455" s="83" t="s">
        <v>885</v>
      </c>
      <c r="H455" s="83" t="s">
        <v>419</v>
      </c>
      <c r="I455" s="85">
        <f>Planejamento2024[[#This Row],[Qnt de Itens]]*Planejamento2024[[#This Row],[Valor unitário]]</f>
        <v>385.85</v>
      </c>
      <c r="J455" s="83" t="s">
        <v>20</v>
      </c>
      <c r="K455" s="83" t="s">
        <v>492</v>
      </c>
      <c r="L455" s="86">
        <v>45292</v>
      </c>
      <c r="M455" s="83" t="s">
        <v>20</v>
      </c>
      <c r="N455" s="87" t="s">
        <v>1278</v>
      </c>
      <c r="O455" s="83" t="s">
        <v>827</v>
      </c>
    </row>
    <row r="456" spans="1:15" ht="18">
      <c r="A456" s="81">
        <f t="shared" si="7"/>
        <v>455</v>
      </c>
      <c r="B456" s="82" t="s">
        <v>1312</v>
      </c>
      <c r="C456" s="83" t="s">
        <v>34</v>
      </c>
      <c r="D456" s="83" t="s">
        <v>35</v>
      </c>
      <c r="E456" s="84">
        <v>4</v>
      </c>
      <c r="F456" s="85">
        <v>268.82</v>
      </c>
      <c r="G456" s="83" t="s">
        <v>885</v>
      </c>
      <c r="H456" s="83" t="s">
        <v>419</v>
      </c>
      <c r="I456" s="85">
        <f>Planejamento2024[[#This Row],[Qnt de Itens]]*Planejamento2024[[#This Row],[Valor unitário]]</f>
        <v>1075.28</v>
      </c>
      <c r="J456" s="83" t="s">
        <v>20</v>
      </c>
      <c r="K456" s="83" t="s">
        <v>492</v>
      </c>
      <c r="L456" s="86">
        <v>45292</v>
      </c>
      <c r="M456" s="83" t="s">
        <v>20</v>
      </c>
      <c r="N456" s="87" t="s">
        <v>1278</v>
      </c>
      <c r="O456" s="83" t="s">
        <v>827</v>
      </c>
    </row>
    <row r="457" spans="1:15" ht="18">
      <c r="A457" s="81">
        <f t="shared" si="7"/>
        <v>456</v>
      </c>
      <c r="B457" s="82" t="s">
        <v>1313</v>
      </c>
      <c r="C457" s="83" t="s">
        <v>34</v>
      </c>
      <c r="D457" s="83" t="s">
        <v>35</v>
      </c>
      <c r="E457" s="84">
        <v>5</v>
      </c>
      <c r="F457" s="85">
        <v>194.5</v>
      </c>
      <c r="G457" s="83" t="s">
        <v>885</v>
      </c>
      <c r="H457" s="83" t="s">
        <v>419</v>
      </c>
      <c r="I457" s="85">
        <f>Planejamento2024[[#This Row],[Qnt de Itens]]*Planejamento2024[[#This Row],[Valor unitário]]</f>
        <v>972.5</v>
      </c>
      <c r="J457" s="83" t="s">
        <v>20</v>
      </c>
      <c r="K457" s="83" t="s">
        <v>492</v>
      </c>
      <c r="L457" s="86">
        <v>45292</v>
      </c>
      <c r="M457" s="83" t="s">
        <v>20</v>
      </c>
      <c r="N457" s="87" t="s">
        <v>1278</v>
      </c>
      <c r="O457" s="83" t="s">
        <v>827</v>
      </c>
    </row>
    <row r="458" spans="1:15" ht="18">
      <c r="A458" s="81">
        <f t="shared" si="7"/>
        <v>457</v>
      </c>
      <c r="B458" s="82" t="s">
        <v>1314</v>
      </c>
      <c r="C458" s="83" t="s">
        <v>34</v>
      </c>
      <c r="D458" s="83" t="s">
        <v>35</v>
      </c>
      <c r="E458" s="84">
        <v>80</v>
      </c>
      <c r="F458" s="85">
        <v>7.09</v>
      </c>
      <c r="G458" s="83" t="s">
        <v>988</v>
      </c>
      <c r="H458" s="83" t="s">
        <v>419</v>
      </c>
      <c r="I458" s="85">
        <f>Planejamento2024[[#This Row],[Qnt de Itens]]*Planejamento2024[[#This Row],[Valor unitário]]</f>
        <v>567.20000000000005</v>
      </c>
      <c r="J458" s="83" t="s">
        <v>20</v>
      </c>
      <c r="K458" s="83" t="s">
        <v>492</v>
      </c>
      <c r="L458" s="86">
        <v>45292</v>
      </c>
      <c r="M458" s="83" t="s">
        <v>20</v>
      </c>
      <c r="N458" s="87" t="s">
        <v>1278</v>
      </c>
      <c r="O458" s="83" t="s">
        <v>827</v>
      </c>
    </row>
    <row r="459" spans="1:15" ht="27">
      <c r="A459" s="81">
        <f t="shared" si="7"/>
        <v>458</v>
      </c>
      <c r="B459" s="82" t="s">
        <v>1315</v>
      </c>
      <c r="C459" s="83" t="s">
        <v>34</v>
      </c>
      <c r="D459" s="83" t="s">
        <v>35</v>
      </c>
      <c r="E459" s="84">
        <v>10</v>
      </c>
      <c r="F459" s="85">
        <v>6.93</v>
      </c>
      <c r="G459" s="83" t="s">
        <v>81</v>
      </c>
      <c r="H459" s="83" t="s">
        <v>419</v>
      </c>
      <c r="I459" s="85">
        <f>Planejamento2024[[#This Row],[Qnt de Itens]]*Planejamento2024[[#This Row],[Valor unitário]]</f>
        <v>69.3</v>
      </c>
      <c r="J459" s="83" t="s">
        <v>20</v>
      </c>
      <c r="K459" s="83" t="s">
        <v>478</v>
      </c>
      <c r="L459" s="86">
        <v>45292</v>
      </c>
      <c r="M459" s="83" t="s">
        <v>20</v>
      </c>
      <c r="N459" s="87" t="s">
        <v>1278</v>
      </c>
      <c r="O459" s="83" t="s">
        <v>827</v>
      </c>
    </row>
    <row r="460" spans="1:15" ht="27">
      <c r="A460" s="81">
        <f t="shared" si="7"/>
        <v>459</v>
      </c>
      <c r="B460" s="82" t="s">
        <v>1316</v>
      </c>
      <c r="C460" s="83" t="s">
        <v>34</v>
      </c>
      <c r="D460" s="83" t="s">
        <v>35</v>
      </c>
      <c r="E460" s="84">
        <v>10</v>
      </c>
      <c r="F460" s="85">
        <v>6.93</v>
      </c>
      <c r="G460" s="83" t="s">
        <v>81</v>
      </c>
      <c r="H460" s="83" t="s">
        <v>419</v>
      </c>
      <c r="I460" s="85">
        <f>Planejamento2024[[#This Row],[Qnt de Itens]]*Planejamento2024[[#This Row],[Valor unitário]]</f>
        <v>69.3</v>
      </c>
      <c r="J460" s="83" t="s">
        <v>20</v>
      </c>
      <c r="K460" s="83" t="s">
        <v>478</v>
      </c>
      <c r="L460" s="86">
        <v>45292</v>
      </c>
      <c r="M460" s="83" t="s">
        <v>20</v>
      </c>
      <c r="N460" s="87" t="s">
        <v>1278</v>
      </c>
      <c r="O460" s="83" t="s">
        <v>827</v>
      </c>
    </row>
    <row r="461" spans="1:15" ht="36">
      <c r="A461" s="81">
        <f t="shared" si="7"/>
        <v>460</v>
      </c>
      <c r="B461" s="82" t="s">
        <v>1317</v>
      </c>
      <c r="C461" s="83" t="s">
        <v>34</v>
      </c>
      <c r="D461" s="83" t="s">
        <v>35</v>
      </c>
      <c r="E461" s="84">
        <v>900</v>
      </c>
      <c r="F461" s="88">
        <v>27.77</v>
      </c>
      <c r="G461" s="83" t="s">
        <v>81</v>
      </c>
      <c r="H461" s="83" t="s">
        <v>419</v>
      </c>
      <c r="I461" s="85">
        <f>Planejamento2024[[#This Row],[Qnt de Itens]]*Planejamento2024[[#This Row],[Valor unitário]]</f>
        <v>24993</v>
      </c>
      <c r="J461" s="83" t="s">
        <v>20</v>
      </c>
      <c r="K461" s="83" t="s">
        <v>415</v>
      </c>
      <c r="L461" s="86">
        <v>45292</v>
      </c>
      <c r="M461" s="83" t="s">
        <v>38</v>
      </c>
      <c r="N461" s="87" t="s">
        <v>951</v>
      </c>
      <c r="O461" s="83" t="s">
        <v>827</v>
      </c>
    </row>
    <row r="462" spans="1:15" ht="36">
      <c r="A462" s="81">
        <f t="shared" si="7"/>
        <v>461</v>
      </c>
      <c r="B462" s="82" t="s">
        <v>1318</v>
      </c>
      <c r="C462" s="83" t="s">
        <v>34</v>
      </c>
      <c r="D462" s="83" t="s">
        <v>35</v>
      </c>
      <c r="E462" s="84">
        <v>1200</v>
      </c>
      <c r="F462" s="88">
        <v>27.77</v>
      </c>
      <c r="G462" s="83" t="s">
        <v>81</v>
      </c>
      <c r="H462" s="83" t="s">
        <v>419</v>
      </c>
      <c r="I462" s="85">
        <f>Planejamento2024[[#This Row],[Qnt de Itens]]*Planejamento2024[[#This Row],[Valor unitário]]</f>
        <v>33324</v>
      </c>
      <c r="J462" s="83" t="s">
        <v>20</v>
      </c>
      <c r="K462" s="83" t="s">
        <v>415</v>
      </c>
      <c r="L462" s="86">
        <v>45292</v>
      </c>
      <c r="M462" s="83" t="s">
        <v>38</v>
      </c>
      <c r="N462" s="87" t="s">
        <v>951</v>
      </c>
      <c r="O462" s="83" t="s">
        <v>827</v>
      </c>
    </row>
    <row r="463" spans="1:15" ht="36">
      <c r="A463" s="81">
        <f t="shared" si="7"/>
        <v>462</v>
      </c>
      <c r="B463" s="82" t="s">
        <v>1319</v>
      </c>
      <c r="C463" s="83" t="s">
        <v>34</v>
      </c>
      <c r="D463" s="83" t="s">
        <v>35</v>
      </c>
      <c r="E463" s="84">
        <v>850</v>
      </c>
      <c r="F463" s="88">
        <v>27.77</v>
      </c>
      <c r="G463" s="83" t="s">
        <v>81</v>
      </c>
      <c r="H463" s="83" t="s">
        <v>419</v>
      </c>
      <c r="I463" s="85">
        <f>Planejamento2024[[#This Row],[Qnt de Itens]]*Planejamento2024[[#This Row],[Valor unitário]]</f>
        <v>23604.5</v>
      </c>
      <c r="J463" s="83" t="s">
        <v>20</v>
      </c>
      <c r="K463" s="83" t="s">
        <v>415</v>
      </c>
      <c r="L463" s="86">
        <v>45292</v>
      </c>
      <c r="M463" s="83" t="s">
        <v>38</v>
      </c>
      <c r="N463" s="87" t="s">
        <v>951</v>
      </c>
      <c r="O463" s="83" t="s">
        <v>827</v>
      </c>
    </row>
    <row r="464" spans="1:15" ht="27">
      <c r="A464" s="81">
        <f t="shared" si="7"/>
        <v>463</v>
      </c>
      <c r="B464" s="82" t="s">
        <v>1320</v>
      </c>
      <c r="C464" s="83" t="s">
        <v>34</v>
      </c>
      <c r="D464" s="83" t="s">
        <v>35</v>
      </c>
      <c r="E464" s="84">
        <v>50</v>
      </c>
      <c r="F464" s="85">
        <v>199.4</v>
      </c>
      <c r="G464" s="83" t="s">
        <v>885</v>
      </c>
      <c r="H464" s="83" t="s">
        <v>419</v>
      </c>
      <c r="I464" s="85">
        <f>Planejamento2024[[#This Row],[Qnt de Itens]]*Planejamento2024[[#This Row],[Valor unitário]]</f>
        <v>9970</v>
      </c>
      <c r="J464" s="83" t="s">
        <v>20</v>
      </c>
      <c r="K464" s="83" t="s">
        <v>478</v>
      </c>
      <c r="L464" s="86">
        <v>45292</v>
      </c>
      <c r="M464" s="83" t="s">
        <v>20</v>
      </c>
      <c r="N464" s="87" t="s">
        <v>1278</v>
      </c>
      <c r="O464" s="83" t="s">
        <v>827</v>
      </c>
    </row>
    <row r="465" spans="1:15" ht="27">
      <c r="A465" s="81">
        <f t="shared" si="7"/>
        <v>464</v>
      </c>
      <c r="B465" s="82" t="s">
        <v>1321</v>
      </c>
      <c r="C465" s="83" t="s">
        <v>34</v>
      </c>
      <c r="D465" s="83" t="s">
        <v>35</v>
      </c>
      <c r="E465" s="84">
        <v>20</v>
      </c>
      <c r="F465" s="85">
        <v>57.65</v>
      </c>
      <c r="G465" s="83" t="s">
        <v>885</v>
      </c>
      <c r="H465" s="83" t="s">
        <v>419</v>
      </c>
      <c r="I465" s="85">
        <f>Planejamento2024[[#This Row],[Qnt de Itens]]*Planejamento2024[[#This Row],[Valor unitário]]</f>
        <v>1153</v>
      </c>
      <c r="J465" s="83" t="s">
        <v>20</v>
      </c>
      <c r="K465" s="83" t="s">
        <v>478</v>
      </c>
      <c r="L465" s="86">
        <v>45292</v>
      </c>
      <c r="M465" s="83" t="s">
        <v>20</v>
      </c>
      <c r="N465" s="87" t="s">
        <v>1278</v>
      </c>
      <c r="O465" s="83" t="s">
        <v>827</v>
      </c>
    </row>
    <row r="466" spans="1:15" ht="27">
      <c r="A466" s="81">
        <f t="shared" si="7"/>
        <v>465</v>
      </c>
      <c r="B466" s="82" t="s">
        <v>1322</v>
      </c>
      <c r="C466" s="83" t="s">
        <v>34</v>
      </c>
      <c r="D466" s="83" t="s">
        <v>35</v>
      </c>
      <c r="E466" s="84">
        <v>100</v>
      </c>
      <c r="F466" s="85">
        <v>6.48</v>
      </c>
      <c r="G466" s="83" t="s">
        <v>988</v>
      </c>
      <c r="H466" s="83" t="s">
        <v>419</v>
      </c>
      <c r="I466" s="85">
        <f>Planejamento2024[[#This Row],[Qnt de Itens]]*Planejamento2024[[#This Row],[Valor unitário]]</f>
        <v>648</v>
      </c>
      <c r="J466" s="83" t="s">
        <v>20</v>
      </c>
      <c r="K466" s="83" t="s">
        <v>415</v>
      </c>
      <c r="L466" s="86">
        <v>45292</v>
      </c>
      <c r="M466" s="83" t="s">
        <v>20</v>
      </c>
      <c r="N466" s="87" t="s">
        <v>1278</v>
      </c>
      <c r="O466" s="83" t="s">
        <v>827</v>
      </c>
    </row>
    <row r="467" spans="1:15" ht="18">
      <c r="A467" s="81">
        <f t="shared" si="7"/>
        <v>466</v>
      </c>
      <c r="B467" s="82" t="s">
        <v>1323</v>
      </c>
      <c r="C467" s="83" t="s">
        <v>34</v>
      </c>
      <c r="D467" s="83" t="s">
        <v>35</v>
      </c>
      <c r="E467" s="84">
        <v>36</v>
      </c>
      <c r="F467" s="85">
        <v>16.36</v>
      </c>
      <c r="G467" s="83" t="s">
        <v>885</v>
      </c>
      <c r="H467" s="83" t="s">
        <v>419</v>
      </c>
      <c r="I467" s="85">
        <f>Planejamento2024[[#This Row],[Qnt de Itens]]*Planejamento2024[[#This Row],[Valor unitário]]</f>
        <v>588.96</v>
      </c>
      <c r="J467" s="83" t="s">
        <v>20</v>
      </c>
      <c r="K467" s="83" t="s">
        <v>492</v>
      </c>
      <c r="L467" s="86">
        <v>45292</v>
      </c>
      <c r="M467" s="83" t="s">
        <v>20</v>
      </c>
      <c r="N467" s="87" t="s">
        <v>1278</v>
      </c>
      <c r="O467" s="83" t="s">
        <v>827</v>
      </c>
    </row>
    <row r="468" spans="1:15" ht="27">
      <c r="A468" s="81">
        <f t="shared" si="7"/>
        <v>467</v>
      </c>
      <c r="B468" s="82" t="s">
        <v>1324</v>
      </c>
      <c r="C468" s="83" t="s">
        <v>34</v>
      </c>
      <c r="D468" s="83" t="s">
        <v>35</v>
      </c>
      <c r="E468" s="84">
        <v>10</v>
      </c>
      <c r="F468" s="85">
        <v>32.229999999999997</v>
      </c>
      <c r="G468" s="83" t="s">
        <v>885</v>
      </c>
      <c r="H468" s="83" t="s">
        <v>419</v>
      </c>
      <c r="I468" s="85">
        <f>Planejamento2024[[#This Row],[Qnt de Itens]]*Planejamento2024[[#This Row],[Valor unitário]]</f>
        <v>322.29999999999995</v>
      </c>
      <c r="J468" s="83" t="s">
        <v>20</v>
      </c>
      <c r="K468" s="83" t="s">
        <v>478</v>
      </c>
      <c r="L468" s="86">
        <v>45292</v>
      </c>
      <c r="M468" s="83" t="s">
        <v>20</v>
      </c>
      <c r="N468" s="87" t="s">
        <v>1278</v>
      </c>
      <c r="O468" s="83" t="s">
        <v>827</v>
      </c>
    </row>
    <row r="469" spans="1:15" ht="18">
      <c r="A469" s="81">
        <f t="shared" si="7"/>
        <v>468</v>
      </c>
      <c r="B469" s="82" t="s">
        <v>85</v>
      </c>
      <c r="C469" s="83" t="s">
        <v>34</v>
      </c>
      <c r="D469" s="83" t="s">
        <v>35</v>
      </c>
      <c r="E469" s="84">
        <v>150</v>
      </c>
      <c r="F469" s="85">
        <v>5.14</v>
      </c>
      <c r="G469" s="83" t="s">
        <v>885</v>
      </c>
      <c r="H469" s="83" t="s">
        <v>419</v>
      </c>
      <c r="I469" s="85">
        <f>Planejamento2024[[#This Row],[Qnt de Itens]]*Planejamento2024[[#This Row],[Valor unitário]]</f>
        <v>771</v>
      </c>
      <c r="J469" s="83" t="s">
        <v>20</v>
      </c>
      <c r="K469" s="83" t="s">
        <v>478</v>
      </c>
      <c r="L469" s="86">
        <v>45292</v>
      </c>
      <c r="M469" s="83" t="s">
        <v>20</v>
      </c>
      <c r="N469" s="87" t="s">
        <v>1278</v>
      </c>
      <c r="O469" s="83" t="s">
        <v>827</v>
      </c>
    </row>
    <row r="470" spans="1:15" ht="27">
      <c r="A470" s="81">
        <f t="shared" si="7"/>
        <v>469</v>
      </c>
      <c r="B470" s="82" t="s">
        <v>1325</v>
      </c>
      <c r="C470" s="83" t="s">
        <v>34</v>
      </c>
      <c r="D470" s="83" t="s">
        <v>35</v>
      </c>
      <c r="E470" s="84">
        <v>5</v>
      </c>
      <c r="F470" s="85">
        <v>236.29</v>
      </c>
      <c r="G470" s="83" t="s">
        <v>953</v>
      </c>
      <c r="H470" s="83" t="s">
        <v>419</v>
      </c>
      <c r="I470" s="85">
        <f>Planejamento2024[[#This Row],[Qnt de Itens]]*Planejamento2024[[#This Row],[Valor unitário]]</f>
        <v>1181.45</v>
      </c>
      <c r="J470" s="83" t="s">
        <v>20</v>
      </c>
      <c r="K470" s="83" t="s">
        <v>492</v>
      </c>
      <c r="L470" s="86">
        <v>45292</v>
      </c>
      <c r="M470" s="83" t="s">
        <v>20</v>
      </c>
      <c r="N470" s="87" t="s">
        <v>1278</v>
      </c>
      <c r="O470" s="83" t="s">
        <v>827</v>
      </c>
    </row>
    <row r="471" spans="1:15" ht="18">
      <c r="A471" s="81">
        <f t="shared" si="7"/>
        <v>470</v>
      </c>
      <c r="B471" s="82" t="s">
        <v>86</v>
      </c>
      <c r="C471" s="83" t="s">
        <v>34</v>
      </c>
      <c r="D471" s="83" t="s">
        <v>35</v>
      </c>
      <c r="E471" s="84">
        <v>60</v>
      </c>
      <c r="F471" s="85">
        <v>5.04</v>
      </c>
      <c r="G471" s="83" t="s">
        <v>885</v>
      </c>
      <c r="H471" s="83" t="s">
        <v>419</v>
      </c>
      <c r="I471" s="85">
        <f>Planejamento2024[[#This Row],[Qnt de Itens]]*Planejamento2024[[#This Row],[Valor unitário]]</f>
        <v>302.39999999999998</v>
      </c>
      <c r="J471" s="83" t="s">
        <v>20</v>
      </c>
      <c r="K471" s="83" t="s">
        <v>492</v>
      </c>
      <c r="L471" s="86">
        <v>45292</v>
      </c>
      <c r="M471" s="83" t="s">
        <v>20</v>
      </c>
      <c r="N471" s="87" t="s">
        <v>1278</v>
      </c>
      <c r="O471" s="83" t="s">
        <v>827</v>
      </c>
    </row>
    <row r="472" spans="1:15" ht="18">
      <c r="A472" s="81">
        <f t="shared" si="7"/>
        <v>471</v>
      </c>
      <c r="B472" s="82" t="s">
        <v>1326</v>
      </c>
      <c r="C472" s="83" t="s">
        <v>34</v>
      </c>
      <c r="D472" s="83" t="s">
        <v>35</v>
      </c>
      <c r="E472" s="84">
        <v>100</v>
      </c>
      <c r="F472" s="85">
        <v>6.83</v>
      </c>
      <c r="G472" s="83" t="s">
        <v>890</v>
      </c>
      <c r="H472" s="83" t="s">
        <v>419</v>
      </c>
      <c r="I472" s="85">
        <f>Planejamento2024[[#This Row],[Qnt de Itens]]*Planejamento2024[[#This Row],[Valor unitário]]</f>
        <v>683</v>
      </c>
      <c r="J472" s="83" t="s">
        <v>20</v>
      </c>
      <c r="K472" s="83" t="s">
        <v>478</v>
      </c>
      <c r="L472" s="86">
        <v>45292</v>
      </c>
      <c r="M472" s="83" t="s">
        <v>20</v>
      </c>
      <c r="N472" s="87" t="s">
        <v>1278</v>
      </c>
      <c r="O472" s="83" t="s">
        <v>827</v>
      </c>
    </row>
    <row r="473" spans="1:15" ht="18">
      <c r="A473" s="81">
        <f t="shared" si="7"/>
        <v>472</v>
      </c>
      <c r="B473" s="82" t="s">
        <v>1327</v>
      </c>
      <c r="C473" s="83" t="s">
        <v>34</v>
      </c>
      <c r="D473" s="83" t="s">
        <v>35</v>
      </c>
      <c r="E473" s="84">
        <v>4000</v>
      </c>
      <c r="F473" s="85">
        <v>1.86</v>
      </c>
      <c r="G473" s="83" t="s">
        <v>1198</v>
      </c>
      <c r="H473" s="83" t="s">
        <v>419</v>
      </c>
      <c r="I473" s="85">
        <f>Planejamento2024[[#This Row],[Qnt de Itens]]*Planejamento2024[[#This Row],[Valor unitário]]</f>
        <v>7440</v>
      </c>
      <c r="J473" s="83" t="s">
        <v>20</v>
      </c>
      <c r="K473" s="83" t="s">
        <v>415</v>
      </c>
      <c r="L473" s="86">
        <v>45292</v>
      </c>
      <c r="M473" s="83" t="s">
        <v>20</v>
      </c>
      <c r="N473" s="87" t="s">
        <v>1278</v>
      </c>
      <c r="O473" s="83" t="s">
        <v>827</v>
      </c>
    </row>
    <row r="474" spans="1:15" ht="36">
      <c r="A474" s="81">
        <f t="shared" si="7"/>
        <v>473</v>
      </c>
      <c r="B474" s="82" t="s">
        <v>1328</v>
      </c>
      <c r="C474" s="83" t="s">
        <v>34</v>
      </c>
      <c r="D474" s="83" t="s">
        <v>35</v>
      </c>
      <c r="E474" s="84">
        <v>750</v>
      </c>
      <c r="F474" s="88">
        <v>178</v>
      </c>
      <c r="G474" s="83" t="s">
        <v>1329</v>
      </c>
      <c r="H474" s="83" t="s">
        <v>419</v>
      </c>
      <c r="I474" s="85">
        <f>Planejamento2024[[#This Row],[Qnt de Itens]]*Planejamento2024[[#This Row],[Valor unitário]]</f>
        <v>133500</v>
      </c>
      <c r="J474" s="83" t="s">
        <v>20</v>
      </c>
      <c r="K474" s="83" t="s">
        <v>415</v>
      </c>
      <c r="L474" s="86">
        <v>45292</v>
      </c>
      <c r="M474" s="83" t="s">
        <v>38</v>
      </c>
      <c r="N474" s="87" t="s">
        <v>951</v>
      </c>
      <c r="O474" s="83" t="s">
        <v>827</v>
      </c>
    </row>
    <row r="475" spans="1:15" ht="27">
      <c r="A475" s="81">
        <f t="shared" si="7"/>
        <v>474</v>
      </c>
      <c r="B475" s="82" t="s">
        <v>1330</v>
      </c>
      <c r="C475" s="83" t="s">
        <v>34</v>
      </c>
      <c r="D475" s="83" t="s">
        <v>35</v>
      </c>
      <c r="E475" s="84">
        <v>100</v>
      </c>
      <c r="F475" s="85">
        <v>14.58</v>
      </c>
      <c r="G475" s="83" t="s">
        <v>890</v>
      </c>
      <c r="H475" s="83" t="s">
        <v>419</v>
      </c>
      <c r="I475" s="85">
        <f>Planejamento2024[[#This Row],[Qnt de Itens]]*Planejamento2024[[#This Row],[Valor unitário]]</f>
        <v>1458</v>
      </c>
      <c r="J475" s="83" t="s">
        <v>20</v>
      </c>
      <c r="K475" s="83" t="s">
        <v>415</v>
      </c>
      <c r="L475" s="86">
        <v>45292</v>
      </c>
      <c r="M475" s="83" t="s">
        <v>20</v>
      </c>
      <c r="N475" s="87" t="s">
        <v>1278</v>
      </c>
      <c r="O475" s="83" t="s">
        <v>827</v>
      </c>
    </row>
    <row r="476" spans="1:15" ht="18">
      <c r="A476" s="81">
        <f t="shared" si="7"/>
        <v>475</v>
      </c>
      <c r="B476" s="82" t="s">
        <v>1331</v>
      </c>
      <c r="C476" s="83" t="s">
        <v>34</v>
      </c>
      <c r="D476" s="83" t="s">
        <v>35</v>
      </c>
      <c r="E476" s="84">
        <v>60</v>
      </c>
      <c r="F476" s="85">
        <v>2.96</v>
      </c>
      <c r="G476" s="83" t="s">
        <v>885</v>
      </c>
      <c r="H476" s="83" t="s">
        <v>419</v>
      </c>
      <c r="I476" s="85">
        <f>Planejamento2024[[#This Row],[Qnt de Itens]]*Planejamento2024[[#This Row],[Valor unitário]]</f>
        <v>177.6</v>
      </c>
      <c r="J476" s="83" t="s">
        <v>20</v>
      </c>
      <c r="K476" s="83" t="s">
        <v>492</v>
      </c>
      <c r="L476" s="86">
        <v>45292</v>
      </c>
      <c r="M476" s="83" t="s">
        <v>20</v>
      </c>
      <c r="N476" s="87" t="s">
        <v>1278</v>
      </c>
      <c r="O476" s="83" t="s">
        <v>827</v>
      </c>
    </row>
    <row r="477" spans="1:15" ht="18">
      <c r="A477" s="81">
        <f t="shared" si="7"/>
        <v>476</v>
      </c>
      <c r="B477" s="82" t="s">
        <v>1332</v>
      </c>
      <c r="C477" s="83" t="s">
        <v>34</v>
      </c>
      <c r="D477" s="83" t="s">
        <v>35</v>
      </c>
      <c r="E477" s="84">
        <v>5</v>
      </c>
      <c r="F477" s="85">
        <v>56.21</v>
      </c>
      <c r="G477" s="83" t="s">
        <v>1277</v>
      </c>
      <c r="H477" s="83" t="s">
        <v>419</v>
      </c>
      <c r="I477" s="85">
        <f>Planejamento2024[[#This Row],[Qnt de Itens]]*Planejamento2024[[#This Row],[Valor unitário]]</f>
        <v>281.05</v>
      </c>
      <c r="J477" s="83" t="s">
        <v>20</v>
      </c>
      <c r="K477" s="83" t="s">
        <v>492</v>
      </c>
      <c r="L477" s="86">
        <v>45292</v>
      </c>
      <c r="M477" s="83" t="s">
        <v>20</v>
      </c>
      <c r="N477" s="87" t="s">
        <v>1278</v>
      </c>
      <c r="O477" s="83" t="s">
        <v>827</v>
      </c>
    </row>
    <row r="478" spans="1:15" ht="36">
      <c r="A478" s="81">
        <f t="shared" si="7"/>
        <v>477</v>
      </c>
      <c r="B478" s="82" t="s">
        <v>1333</v>
      </c>
      <c r="C478" s="83" t="s">
        <v>34</v>
      </c>
      <c r="D478" s="83" t="s">
        <v>35</v>
      </c>
      <c r="E478" s="84">
        <v>250</v>
      </c>
      <c r="F478" s="85">
        <v>388.03</v>
      </c>
      <c r="G478" s="83" t="s">
        <v>510</v>
      </c>
      <c r="H478" s="83" t="s">
        <v>419</v>
      </c>
      <c r="I478" s="85">
        <f>Planejamento2024[[#This Row],[Qnt de Itens]]*Planejamento2024[[#This Row],[Valor unitário]]</f>
        <v>97007.5</v>
      </c>
      <c r="J478" s="83" t="s">
        <v>20</v>
      </c>
      <c r="K478" s="83" t="s">
        <v>415</v>
      </c>
      <c r="L478" s="86">
        <v>45292</v>
      </c>
      <c r="M478" s="83" t="s">
        <v>38</v>
      </c>
      <c r="N478" s="87" t="s">
        <v>951</v>
      </c>
      <c r="O478" s="83" t="s">
        <v>827</v>
      </c>
    </row>
    <row r="479" spans="1:15" ht="18">
      <c r="A479" s="81">
        <f t="shared" si="7"/>
        <v>478</v>
      </c>
      <c r="B479" s="82" t="s">
        <v>1334</v>
      </c>
      <c r="C479" s="83" t="s">
        <v>34</v>
      </c>
      <c r="D479" s="83" t="s">
        <v>35</v>
      </c>
      <c r="E479" s="84">
        <v>5</v>
      </c>
      <c r="F479" s="85">
        <v>10.88</v>
      </c>
      <c r="G479" s="83" t="s">
        <v>885</v>
      </c>
      <c r="H479" s="83" t="s">
        <v>419</v>
      </c>
      <c r="I479" s="85">
        <f>Planejamento2024[[#This Row],[Qnt de Itens]]*Planejamento2024[[#This Row],[Valor unitário]]</f>
        <v>54.400000000000006</v>
      </c>
      <c r="J479" s="83" t="s">
        <v>20</v>
      </c>
      <c r="K479" s="83" t="s">
        <v>478</v>
      </c>
      <c r="L479" s="86">
        <v>45292</v>
      </c>
      <c r="M479" s="83" t="s">
        <v>20</v>
      </c>
      <c r="N479" s="87" t="s">
        <v>1278</v>
      </c>
      <c r="O479" s="83" t="s">
        <v>827</v>
      </c>
    </row>
    <row r="480" spans="1:15" ht="18">
      <c r="A480" s="81">
        <f t="shared" si="7"/>
        <v>479</v>
      </c>
      <c r="B480" s="82" t="s">
        <v>1335</v>
      </c>
      <c r="C480" s="83" t="s">
        <v>34</v>
      </c>
      <c r="D480" s="83" t="s">
        <v>35</v>
      </c>
      <c r="E480" s="84">
        <v>10</v>
      </c>
      <c r="F480" s="85">
        <v>12.34</v>
      </c>
      <c r="G480" s="83" t="s">
        <v>885</v>
      </c>
      <c r="H480" s="83" t="s">
        <v>419</v>
      </c>
      <c r="I480" s="85">
        <f>Planejamento2024[[#This Row],[Qnt de Itens]]*Planejamento2024[[#This Row],[Valor unitário]]</f>
        <v>123.4</v>
      </c>
      <c r="J480" s="83" t="s">
        <v>20</v>
      </c>
      <c r="K480" s="83" t="s">
        <v>478</v>
      </c>
      <c r="L480" s="86">
        <v>45292</v>
      </c>
      <c r="M480" s="83" t="s">
        <v>20</v>
      </c>
      <c r="N480" s="87" t="s">
        <v>1278</v>
      </c>
      <c r="O480" s="83" t="s">
        <v>827</v>
      </c>
    </row>
    <row r="481" spans="1:15" ht="18">
      <c r="A481" s="81">
        <f t="shared" si="7"/>
        <v>480</v>
      </c>
      <c r="B481" s="82" t="s">
        <v>1336</v>
      </c>
      <c r="C481" s="83" t="s">
        <v>34</v>
      </c>
      <c r="D481" s="83" t="s">
        <v>35</v>
      </c>
      <c r="E481" s="84">
        <v>10</v>
      </c>
      <c r="F481" s="85">
        <v>12.05</v>
      </c>
      <c r="G481" s="83" t="s">
        <v>885</v>
      </c>
      <c r="H481" s="83" t="s">
        <v>419</v>
      </c>
      <c r="I481" s="85">
        <f>Planejamento2024[[#This Row],[Qnt de Itens]]*Planejamento2024[[#This Row],[Valor unitário]]</f>
        <v>120.5</v>
      </c>
      <c r="J481" s="83" t="s">
        <v>20</v>
      </c>
      <c r="K481" s="83" t="s">
        <v>478</v>
      </c>
      <c r="L481" s="86">
        <v>45292</v>
      </c>
      <c r="M481" s="83" t="s">
        <v>20</v>
      </c>
      <c r="N481" s="87" t="s">
        <v>1278</v>
      </c>
      <c r="O481" s="83" t="s">
        <v>827</v>
      </c>
    </row>
    <row r="482" spans="1:15" ht="18">
      <c r="A482" s="81">
        <f t="shared" si="7"/>
        <v>481</v>
      </c>
      <c r="B482" s="82" t="s">
        <v>1337</v>
      </c>
      <c r="C482" s="83" t="s">
        <v>34</v>
      </c>
      <c r="D482" s="83" t="s">
        <v>35</v>
      </c>
      <c r="E482" s="84">
        <v>5</v>
      </c>
      <c r="F482" s="85">
        <v>16.7</v>
      </c>
      <c r="G482" s="83" t="s">
        <v>885</v>
      </c>
      <c r="H482" s="83" t="s">
        <v>419</v>
      </c>
      <c r="I482" s="85">
        <f>Planejamento2024[[#This Row],[Qnt de Itens]]*Planejamento2024[[#This Row],[Valor unitário]]</f>
        <v>83.5</v>
      </c>
      <c r="J482" s="83" t="s">
        <v>20</v>
      </c>
      <c r="K482" s="83" t="s">
        <v>478</v>
      </c>
      <c r="L482" s="86">
        <v>45292</v>
      </c>
      <c r="M482" s="83" t="s">
        <v>20</v>
      </c>
      <c r="N482" s="87" t="s">
        <v>1278</v>
      </c>
      <c r="O482" s="83" t="s">
        <v>827</v>
      </c>
    </row>
    <row r="483" spans="1:15" ht="18">
      <c r="A483" s="81">
        <f t="shared" si="7"/>
        <v>482</v>
      </c>
      <c r="B483" s="82" t="s">
        <v>647</v>
      </c>
      <c r="C483" s="83" t="s">
        <v>34</v>
      </c>
      <c r="D483" s="83" t="s">
        <v>35</v>
      </c>
      <c r="E483" s="84">
        <v>5</v>
      </c>
      <c r="F483" s="85">
        <v>6.94</v>
      </c>
      <c r="G483" s="83" t="s">
        <v>885</v>
      </c>
      <c r="H483" s="83" t="s">
        <v>419</v>
      </c>
      <c r="I483" s="85">
        <f>Planejamento2024[[#This Row],[Qnt de Itens]]*Planejamento2024[[#This Row],[Valor unitário]]</f>
        <v>34.700000000000003</v>
      </c>
      <c r="J483" s="83" t="s">
        <v>20</v>
      </c>
      <c r="K483" s="83" t="s">
        <v>492</v>
      </c>
      <c r="L483" s="86">
        <v>45292</v>
      </c>
      <c r="M483" s="83" t="s">
        <v>20</v>
      </c>
      <c r="N483" s="87" t="s">
        <v>1278</v>
      </c>
      <c r="O483" s="83" t="s">
        <v>827</v>
      </c>
    </row>
    <row r="484" spans="1:15" ht="18">
      <c r="A484" s="81">
        <f t="shared" si="7"/>
        <v>483</v>
      </c>
      <c r="B484" s="82" t="s">
        <v>1338</v>
      </c>
      <c r="C484" s="83" t="s">
        <v>34</v>
      </c>
      <c r="D484" s="83" t="s">
        <v>35</v>
      </c>
      <c r="E484" s="84">
        <v>30</v>
      </c>
      <c r="F484" s="85">
        <v>50.95</v>
      </c>
      <c r="G484" s="83" t="s">
        <v>885</v>
      </c>
      <c r="H484" s="83" t="s">
        <v>419</v>
      </c>
      <c r="I484" s="85">
        <f>Planejamento2024[[#This Row],[Qnt de Itens]]*Planejamento2024[[#This Row],[Valor unitário]]</f>
        <v>1528.5</v>
      </c>
      <c r="J484" s="83" t="s">
        <v>20</v>
      </c>
      <c r="K484" s="83" t="s">
        <v>492</v>
      </c>
      <c r="L484" s="86">
        <v>45292</v>
      </c>
      <c r="M484" s="83" t="s">
        <v>20</v>
      </c>
      <c r="N484" s="87" t="s">
        <v>1278</v>
      </c>
      <c r="O484" s="83" t="s">
        <v>827</v>
      </c>
    </row>
    <row r="485" spans="1:15" ht="18">
      <c r="A485" s="81">
        <f t="shared" si="7"/>
        <v>484</v>
      </c>
      <c r="B485" s="82" t="s">
        <v>1339</v>
      </c>
      <c r="C485" s="83" t="s">
        <v>34</v>
      </c>
      <c r="D485" s="83" t="s">
        <v>35</v>
      </c>
      <c r="E485" s="84">
        <v>50</v>
      </c>
      <c r="F485" s="85">
        <v>4.13</v>
      </c>
      <c r="G485" s="83" t="s">
        <v>885</v>
      </c>
      <c r="H485" s="83" t="s">
        <v>419</v>
      </c>
      <c r="I485" s="85">
        <f>Planejamento2024[[#This Row],[Qnt de Itens]]*Planejamento2024[[#This Row],[Valor unitário]]</f>
        <v>206.5</v>
      </c>
      <c r="J485" s="83" t="s">
        <v>20</v>
      </c>
      <c r="K485" s="83" t="s">
        <v>415</v>
      </c>
      <c r="L485" s="86">
        <v>45292</v>
      </c>
      <c r="M485" s="83" t="s">
        <v>20</v>
      </c>
      <c r="N485" s="87" t="s">
        <v>1278</v>
      </c>
      <c r="O485" s="83" t="s">
        <v>827</v>
      </c>
    </row>
    <row r="486" spans="1:15" ht="18">
      <c r="A486" s="81">
        <f t="shared" si="7"/>
        <v>485</v>
      </c>
      <c r="B486" s="82" t="s">
        <v>1340</v>
      </c>
      <c r="C486" s="83" t="s">
        <v>34</v>
      </c>
      <c r="D486" s="83" t="s">
        <v>35</v>
      </c>
      <c r="E486" s="84">
        <v>800</v>
      </c>
      <c r="F486" s="85">
        <v>12.44</v>
      </c>
      <c r="G486" s="83" t="s">
        <v>510</v>
      </c>
      <c r="H486" s="83" t="s">
        <v>419</v>
      </c>
      <c r="I486" s="85">
        <f>Planejamento2024[[#This Row],[Qnt de Itens]]*Planejamento2024[[#This Row],[Valor unitário]]</f>
        <v>9952</v>
      </c>
      <c r="J486" s="83" t="s">
        <v>20</v>
      </c>
      <c r="K486" s="83" t="s">
        <v>415</v>
      </c>
      <c r="L486" s="86">
        <v>45292</v>
      </c>
      <c r="M486" s="83" t="s">
        <v>20</v>
      </c>
      <c r="N486" s="87" t="s">
        <v>1278</v>
      </c>
      <c r="O486" s="83" t="s">
        <v>827</v>
      </c>
    </row>
    <row r="487" spans="1:15" ht="18">
      <c r="A487" s="81">
        <f t="shared" si="7"/>
        <v>486</v>
      </c>
      <c r="B487" s="82" t="s">
        <v>1341</v>
      </c>
      <c r="C487" s="83" t="s">
        <v>34</v>
      </c>
      <c r="D487" s="83" t="s">
        <v>35</v>
      </c>
      <c r="E487" s="84">
        <v>720</v>
      </c>
      <c r="F487" s="85">
        <v>19.059999999999999</v>
      </c>
      <c r="G487" s="83" t="s">
        <v>988</v>
      </c>
      <c r="H487" s="83" t="s">
        <v>419</v>
      </c>
      <c r="I487" s="85">
        <f>Planejamento2024[[#This Row],[Qnt de Itens]]*Planejamento2024[[#This Row],[Valor unitário]]</f>
        <v>13723.199999999999</v>
      </c>
      <c r="J487" s="83" t="s">
        <v>20</v>
      </c>
      <c r="K487" s="83" t="s">
        <v>415</v>
      </c>
      <c r="L487" s="86">
        <v>45292</v>
      </c>
      <c r="M487" s="83" t="s">
        <v>20</v>
      </c>
      <c r="N487" s="87" t="s">
        <v>1278</v>
      </c>
      <c r="O487" s="83" t="s">
        <v>827</v>
      </c>
    </row>
    <row r="488" spans="1:15" ht="18">
      <c r="A488" s="81">
        <f t="shared" si="7"/>
        <v>487</v>
      </c>
      <c r="B488" s="82" t="s">
        <v>1342</v>
      </c>
      <c r="C488" s="83" t="s">
        <v>34</v>
      </c>
      <c r="D488" s="83" t="s">
        <v>35</v>
      </c>
      <c r="E488" s="84">
        <v>24</v>
      </c>
      <c r="F488" s="85">
        <v>30.81</v>
      </c>
      <c r="G488" s="83" t="s">
        <v>1277</v>
      </c>
      <c r="H488" s="83" t="s">
        <v>419</v>
      </c>
      <c r="I488" s="85">
        <f>Planejamento2024[[#This Row],[Qnt de Itens]]*Planejamento2024[[#This Row],[Valor unitário]]</f>
        <v>739.43999999999994</v>
      </c>
      <c r="J488" s="83" t="s">
        <v>20</v>
      </c>
      <c r="K488" s="83" t="s">
        <v>415</v>
      </c>
      <c r="L488" s="86">
        <v>45292</v>
      </c>
      <c r="M488" s="83" t="s">
        <v>20</v>
      </c>
      <c r="N488" s="87" t="s">
        <v>1278</v>
      </c>
      <c r="O488" s="83" t="s">
        <v>827</v>
      </c>
    </row>
    <row r="489" spans="1:15" ht="63">
      <c r="A489" s="81">
        <f t="shared" si="7"/>
        <v>488</v>
      </c>
      <c r="B489" s="82" t="s">
        <v>1343</v>
      </c>
      <c r="C489" s="83" t="s">
        <v>34</v>
      </c>
      <c r="D489" s="83" t="s">
        <v>35</v>
      </c>
      <c r="E489" s="84">
        <v>600</v>
      </c>
      <c r="F489" s="88">
        <v>317.73</v>
      </c>
      <c r="G489" s="83" t="s">
        <v>890</v>
      </c>
      <c r="H489" s="83" t="s">
        <v>419</v>
      </c>
      <c r="I489" s="85">
        <f>Planejamento2024[[#This Row],[Qnt de Itens]]*Planejamento2024[[#This Row],[Valor unitário]]</f>
        <v>190638</v>
      </c>
      <c r="J489" s="83" t="s">
        <v>20</v>
      </c>
      <c r="K489" s="83" t="s">
        <v>415</v>
      </c>
      <c r="L489" s="86">
        <v>45292</v>
      </c>
      <c r="M489" s="83" t="s">
        <v>38</v>
      </c>
      <c r="N489" s="87" t="s">
        <v>951</v>
      </c>
      <c r="O489" s="83" t="s">
        <v>827</v>
      </c>
    </row>
    <row r="490" spans="1:15" ht="27">
      <c r="A490" s="81">
        <f t="shared" si="7"/>
        <v>489</v>
      </c>
      <c r="B490" s="82" t="s">
        <v>1344</v>
      </c>
      <c r="C490" s="83" t="s">
        <v>34</v>
      </c>
      <c r="D490" s="83" t="s">
        <v>35</v>
      </c>
      <c r="E490" s="84">
        <v>100</v>
      </c>
      <c r="F490" s="85">
        <v>68.040000000000006</v>
      </c>
      <c r="G490" s="83" t="s">
        <v>1329</v>
      </c>
      <c r="H490" s="83" t="s">
        <v>419</v>
      </c>
      <c r="I490" s="85">
        <f>Planejamento2024[[#This Row],[Qnt de Itens]]*Planejamento2024[[#This Row],[Valor unitário]]</f>
        <v>6804.0000000000009</v>
      </c>
      <c r="J490" s="83" t="s">
        <v>20</v>
      </c>
      <c r="K490" s="83" t="s">
        <v>415</v>
      </c>
      <c r="L490" s="86">
        <v>45292</v>
      </c>
      <c r="M490" s="83" t="s">
        <v>20</v>
      </c>
      <c r="N490" s="87" t="s">
        <v>1278</v>
      </c>
      <c r="O490" s="83" t="s">
        <v>827</v>
      </c>
    </row>
    <row r="491" spans="1:15" ht="27">
      <c r="A491" s="81">
        <f t="shared" si="7"/>
        <v>490</v>
      </c>
      <c r="B491" s="82" t="s">
        <v>1344</v>
      </c>
      <c r="C491" s="83" t="s">
        <v>34</v>
      </c>
      <c r="D491" s="83" t="s">
        <v>35</v>
      </c>
      <c r="E491" s="84">
        <v>100</v>
      </c>
      <c r="F491" s="85">
        <v>104.07</v>
      </c>
      <c r="G491" s="83" t="s">
        <v>1329</v>
      </c>
      <c r="H491" s="83" t="s">
        <v>419</v>
      </c>
      <c r="I491" s="85">
        <f>Planejamento2024[[#This Row],[Qnt de Itens]]*Planejamento2024[[#This Row],[Valor unitário]]</f>
        <v>10407</v>
      </c>
      <c r="J491" s="83" t="s">
        <v>20</v>
      </c>
      <c r="K491" s="83" t="s">
        <v>415</v>
      </c>
      <c r="L491" s="86">
        <v>45292</v>
      </c>
      <c r="M491" s="83" t="s">
        <v>20</v>
      </c>
      <c r="N491" s="87" t="s">
        <v>1292</v>
      </c>
      <c r="O491" s="83" t="s">
        <v>827</v>
      </c>
    </row>
    <row r="492" spans="1:15" ht="27">
      <c r="A492" s="81">
        <f t="shared" si="7"/>
        <v>491</v>
      </c>
      <c r="B492" s="82" t="s">
        <v>1345</v>
      </c>
      <c r="C492" s="83" t="s">
        <v>34</v>
      </c>
      <c r="D492" s="83" t="s">
        <v>35</v>
      </c>
      <c r="E492" s="84">
        <v>50</v>
      </c>
      <c r="F492" s="85">
        <v>36.9</v>
      </c>
      <c r="G492" s="83" t="s">
        <v>1329</v>
      </c>
      <c r="H492" s="83" t="s">
        <v>419</v>
      </c>
      <c r="I492" s="85">
        <f>Planejamento2024[[#This Row],[Qnt de Itens]]*Planejamento2024[[#This Row],[Valor unitário]]</f>
        <v>1845</v>
      </c>
      <c r="J492" s="83" t="s">
        <v>20</v>
      </c>
      <c r="K492" s="83" t="s">
        <v>492</v>
      </c>
      <c r="L492" s="86">
        <v>45292</v>
      </c>
      <c r="M492" s="83" t="s">
        <v>20</v>
      </c>
      <c r="N492" s="87" t="s">
        <v>1278</v>
      </c>
      <c r="O492" s="83" t="s">
        <v>827</v>
      </c>
    </row>
    <row r="493" spans="1:15" ht="27">
      <c r="A493" s="81">
        <f t="shared" si="7"/>
        <v>492</v>
      </c>
      <c r="B493" s="82" t="s">
        <v>1345</v>
      </c>
      <c r="C493" s="83" t="s">
        <v>34</v>
      </c>
      <c r="D493" s="83" t="s">
        <v>35</v>
      </c>
      <c r="E493" s="84">
        <v>50</v>
      </c>
      <c r="F493" s="85">
        <v>25.18</v>
      </c>
      <c r="G493" s="83" t="s">
        <v>1329</v>
      </c>
      <c r="H493" s="83" t="s">
        <v>419</v>
      </c>
      <c r="I493" s="85">
        <f>Planejamento2024[[#This Row],[Qnt de Itens]]*Planejamento2024[[#This Row],[Valor unitário]]</f>
        <v>1259</v>
      </c>
      <c r="J493" s="83" t="s">
        <v>20</v>
      </c>
      <c r="K493" s="83" t="s">
        <v>492</v>
      </c>
      <c r="L493" s="86">
        <v>45292</v>
      </c>
      <c r="M493" s="83" t="s">
        <v>20</v>
      </c>
      <c r="N493" s="87" t="s">
        <v>1292</v>
      </c>
      <c r="O493" s="83" t="s">
        <v>827</v>
      </c>
    </row>
    <row r="494" spans="1:15" ht="27">
      <c r="A494" s="81">
        <f t="shared" si="7"/>
        <v>493</v>
      </c>
      <c r="B494" s="82" t="s">
        <v>1346</v>
      </c>
      <c r="C494" s="83" t="s">
        <v>34</v>
      </c>
      <c r="D494" s="83" t="s">
        <v>35</v>
      </c>
      <c r="E494" s="84">
        <v>100</v>
      </c>
      <c r="F494" s="85">
        <v>148.05000000000001</v>
      </c>
      <c r="G494" s="83" t="s">
        <v>1329</v>
      </c>
      <c r="H494" s="83" t="s">
        <v>419</v>
      </c>
      <c r="I494" s="85">
        <f>Planejamento2024[[#This Row],[Qnt de Itens]]*Planejamento2024[[#This Row],[Valor unitário]]</f>
        <v>14805.000000000002</v>
      </c>
      <c r="J494" s="83" t="s">
        <v>20</v>
      </c>
      <c r="K494" s="83" t="s">
        <v>415</v>
      </c>
      <c r="L494" s="86">
        <v>45292</v>
      </c>
      <c r="M494" s="83" t="s">
        <v>20</v>
      </c>
      <c r="N494" s="87" t="s">
        <v>1278</v>
      </c>
      <c r="O494" s="83" t="s">
        <v>827</v>
      </c>
    </row>
    <row r="495" spans="1:15" ht="27">
      <c r="A495" s="81">
        <f t="shared" si="7"/>
        <v>494</v>
      </c>
      <c r="B495" s="82" t="s">
        <v>1346</v>
      </c>
      <c r="C495" s="83" t="s">
        <v>34</v>
      </c>
      <c r="D495" s="83" t="s">
        <v>35</v>
      </c>
      <c r="E495" s="84">
        <v>100</v>
      </c>
      <c r="F495" s="85">
        <v>178.61</v>
      </c>
      <c r="G495" s="83" t="s">
        <v>1329</v>
      </c>
      <c r="H495" s="83" t="s">
        <v>419</v>
      </c>
      <c r="I495" s="85">
        <f>Planejamento2024[[#This Row],[Qnt de Itens]]*Planejamento2024[[#This Row],[Valor unitário]]</f>
        <v>17861</v>
      </c>
      <c r="J495" s="83" t="s">
        <v>20</v>
      </c>
      <c r="K495" s="83" t="s">
        <v>415</v>
      </c>
      <c r="L495" s="86">
        <v>45292</v>
      </c>
      <c r="M495" s="83" t="s">
        <v>20</v>
      </c>
      <c r="N495" s="87" t="s">
        <v>1292</v>
      </c>
      <c r="O495" s="83" t="s">
        <v>827</v>
      </c>
    </row>
    <row r="496" spans="1:15" ht="27">
      <c r="A496" s="81">
        <f t="shared" si="7"/>
        <v>495</v>
      </c>
      <c r="B496" s="82" t="s">
        <v>1347</v>
      </c>
      <c r="C496" s="83" t="s">
        <v>34</v>
      </c>
      <c r="D496" s="83" t="s">
        <v>35</v>
      </c>
      <c r="E496" s="84">
        <v>100</v>
      </c>
      <c r="F496" s="85">
        <v>35.700000000000003</v>
      </c>
      <c r="G496" s="83" t="s">
        <v>1329</v>
      </c>
      <c r="H496" s="83" t="s">
        <v>419</v>
      </c>
      <c r="I496" s="85">
        <f>Planejamento2024[[#This Row],[Qnt de Itens]]*Planejamento2024[[#This Row],[Valor unitário]]</f>
        <v>3570.0000000000005</v>
      </c>
      <c r="J496" s="83" t="s">
        <v>20</v>
      </c>
      <c r="K496" s="83" t="s">
        <v>415</v>
      </c>
      <c r="L496" s="86">
        <v>45292</v>
      </c>
      <c r="M496" s="83" t="s">
        <v>20</v>
      </c>
      <c r="N496" s="87" t="s">
        <v>1278</v>
      </c>
      <c r="O496" s="83" t="s">
        <v>827</v>
      </c>
    </row>
    <row r="497" spans="1:15" ht="27">
      <c r="A497" s="81">
        <f t="shared" si="7"/>
        <v>496</v>
      </c>
      <c r="B497" s="82" t="s">
        <v>1347</v>
      </c>
      <c r="C497" s="83" t="s">
        <v>34</v>
      </c>
      <c r="D497" s="83" t="s">
        <v>35</v>
      </c>
      <c r="E497" s="84">
        <v>100</v>
      </c>
      <c r="F497" s="85">
        <v>37.450000000000003</v>
      </c>
      <c r="G497" s="83" t="s">
        <v>1329</v>
      </c>
      <c r="H497" s="83" t="s">
        <v>419</v>
      </c>
      <c r="I497" s="85">
        <f>Planejamento2024[[#This Row],[Qnt de Itens]]*Planejamento2024[[#This Row],[Valor unitário]]</f>
        <v>3745.0000000000005</v>
      </c>
      <c r="J497" s="83" t="s">
        <v>20</v>
      </c>
      <c r="K497" s="83" t="s">
        <v>415</v>
      </c>
      <c r="L497" s="86">
        <v>45292</v>
      </c>
      <c r="M497" s="83" t="s">
        <v>20</v>
      </c>
      <c r="N497" s="87" t="s">
        <v>1292</v>
      </c>
      <c r="O497" s="83" t="s">
        <v>827</v>
      </c>
    </row>
    <row r="498" spans="1:15" ht="27">
      <c r="A498" s="81">
        <f t="shared" si="7"/>
        <v>497</v>
      </c>
      <c r="B498" s="82" t="s">
        <v>1348</v>
      </c>
      <c r="C498" s="83" t="s">
        <v>34</v>
      </c>
      <c r="D498" s="83" t="s">
        <v>35</v>
      </c>
      <c r="E498" s="84">
        <v>100</v>
      </c>
      <c r="F498" s="85">
        <v>55</v>
      </c>
      <c r="G498" s="83" t="s">
        <v>1329</v>
      </c>
      <c r="H498" s="83" t="s">
        <v>419</v>
      </c>
      <c r="I498" s="85">
        <f>Planejamento2024[[#This Row],[Qnt de Itens]]*Planejamento2024[[#This Row],[Valor unitário]]</f>
        <v>5500</v>
      </c>
      <c r="J498" s="83" t="s">
        <v>20</v>
      </c>
      <c r="K498" s="83" t="s">
        <v>415</v>
      </c>
      <c r="L498" s="86">
        <v>45292</v>
      </c>
      <c r="M498" s="83" t="s">
        <v>20</v>
      </c>
      <c r="N498" s="87" t="s">
        <v>1278</v>
      </c>
      <c r="O498" s="83" t="s">
        <v>827</v>
      </c>
    </row>
    <row r="499" spans="1:15" ht="27">
      <c r="A499" s="81">
        <f t="shared" si="7"/>
        <v>498</v>
      </c>
      <c r="B499" s="82" t="s">
        <v>1348</v>
      </c>
      <c r="C499" s="83" t="s">
        <v>34</v>
      </c>
      <c r="D499" s="83" t="s">
        <v>35</v>
      </c>
      <c r="E499" s="84">
        <v>100</v>
      </c>
      <c r="F499" s="85">
        <v>75.790000000000006</v>
      </c>
      <c r="G499" s="83" t="s">
        <v>1329</v>
      </c>
      <c r="H499" s="83" t="s">
        <v>419</v>
      </c>
      <c r="I499" s="85">
        <f>Planejamento2024[[#This Row],[Qnt de Itens]]*Planejamento2024[[#This Row],[Valor unitário]]</f>
        <v>7579.0000000000009</v>
      </c>
      <c r="J499" s="83" t="s">
        <v>20</v>
      </c>
      <c r="K499" s="83" t="s">
        <v>415</v>
      </c>
      <c r="L499" s="86">
        <v>45292</v>
      </c>
      <c r="M499" s="83" t="s">
        <v>20</v>
      </c>
      <c r="N499" s="87" t="s">
        <v>1292</v>
      </c>
      <c r="O499" s="83" t="s">
        <v>827</v>
      </c>
    </row>
    <row r="500" spans="1:15" ht="27">
      <c r="A500" s="81">
        <f t="shared" si="7"/>
        <v>499</v>
      </c>
      <c r="B500" s="82" t="s">
        <v>1349</v>
      </c>
      <c r="C500" s="83" t="s">
        <v>34</v>
      </c>
      <c r="D500" s="83" t="s">
        <v>35</v>
      </c>
      <c r="E500" s="84">
        <v>100</v>
      </c>
      <c r="F500" s="85">
        <v>9.58</v>
      </c>
      <c r="G500" s="83" t="s">
        <v>885</v>
      </c>
      <c r="H500" s="83" t="s">
        <v>419</v>
      </c>
      <c r="I500" s="85">
        <f>Planejamento2024[[#This Row],[Qnt de Itens]]*Planejamento2024[[#This Row],[Valor unitário]]</f>
        <v>958</v>
      </c>
      <c r="J500" s="83" t="s">
        <v>20</v>
      </c>
      <c r="K500" s="83" t="s">
        <v>478</v>
      </c>
      <c r="L500" s="86">
        <v>45292</v>
      </c>
      <c r="M500" s="83" t="s">
        <v>20</v>
      </c>
      <c r="N500" s="87" t="s">
        <v>1278</v>
      </c>
      <c r="O500" s="83" t="s">
        <v>827</v>
      </c>
    </row>
    <row r="501" spans="1:15" ht="27">
      <c r="A501" s="81">
        <f t="shared" si="7"/>
        <v>500</v>
      </c>
      <c r="B501" s="82" t="s">
        <v>1350</v>
      </c>
      <c r="C501" s="83" t="s">
        <v>34</v>
      </c>
      <c r="D501" s="83" t="s">
        <v>35</v>
      </c>
      <c r="E501" s="84">
        <v>100</v>
      </c>
      <c r="F501" s="85">
        <v>7.42</v>
      </c>
      <c r="G501" s="83" t="s">
        <v>885</v>
      </c>
      <c r="H501" s="83" t="s">
        <v>419</v>
      </c>
      <c r="I501" s="85">
        <f>Planejamento2024[[#This Row],[Qnt de Itens]]*Planejamento2024[[#This Row],[Valor unitário]]</f>
        <v>742</v>
      </c>
      <c r="J501" s="83" t="s">
        <v>20</v>
      </c>
      <c r="K501" s="83" t="s">
        <v>492</v>
      </c>
      <c r="L501" s="86">
        <v>45292</v>
      </c>
      <c r="M501" s="83" t="s">
        <v>20</v>
      </c>
      <c r="N501" s="87" t="s">
        <v>1278</v>
      </c>
      <c r="O501" s="83" t="s">
        <v>827</v>
      </c>
    </row>
    <row r="502" spans="1:15" ht="18">
      <c r="A502" s="81">
        <f t="shared" si="7"/>
        <v>501</v>
      </c>
      <c r="B502" s="82" t="s">
        <v>1351</v>
      </c>
      <c r="C502" s="83" t="s">
        <v>34</v>
      </c>
      <c r="D502" s="83" t="s">
        <v>35</v>
      </c>
      <c r="E502" s="84">
        <v>30</v>
      </c>
      <c r="F502" s="85">
        <v>15.71</v>
      </c>
      <c r="G502" s="83" t="s">
        <v>885</v>
      </c>
      <c r="H502" s="83" t="s">
        <v>419</v>
      </c>
      <c r="I502" s="85">
        <f>Planejamento2024[[#This Row],[Qnt de Itens]]*Planejamento2024[[#This Row],[Valor unitário]]</f>
        <v>471.3</v>
      </c>
      <c r="J502" s="83" t="s">
        <v>20</v>
      </c>
      <c r="K502" s="83" t="s">
        <v>478</v>
      </c>
      <c r="L502" s="86">
        <v>45292</v>
      </c>
      <c r="M502" s="83" t="s">
        <v>20</v>
      </c>
      <c r="N502" s="87" t="s">
        <v>1278</v>
      </c>
      <c r="O502" s="83" t="s">
        <v>827</v>
      </c>
    </row>
    <row r="503" spans="1:15" ht="18">
      <c r="A503" s="81">
        <f t="shared" si="7"/>
        <v>502</v>
      </c>
      <c r="B503" s="82" t="s">
        <v>1352</v>
      </c>
      <c r="C503" s="83" t="s">
        <v>34</v>
      </c>
      <c r="D503" s="83" t="s">
        <v>35</v>
      </c>
      <c r="E503" s="84">
        <v>30</v>
      </c>
      <c r="F503" s="85">
        <v>20.079999999999998</v>
      </c>
      <c r="G503" s="83" t="s">
        <v>885</v>
      </c>
      <c r="H503" s="83" t="s">
        <v>419</v>
      </c>
      <c r="I503" s="85">
        <f>Planejamento2024[[#This Row],[Qnt de Itens]]*Planejamento2024[[#This Row],[Valor unitário]]</f>
        <v>602.4</v>
      </c>
      <c r="J503" s="83" t="s">
        <v>20</v>
      </c>
      <c r="K503" s="83" t="s">
        <v>478</v>
      </c>
      <c r="L503" s="86">
        <v>45292</v>
      </c>
      <c r="M503" s="83" t="s">
        <v>20</v>
      </c>
      <c r="N503" s="87" t="s">
        <v>1278</v>
      </c>
      <c r="O503" s="83" t="s">
        <v>827</v>
      </c>
    </row>
    <row r="504" spans="1:15" ht="18">
      <c r="A504" s="81">
        <f t="shared" si="7"/>
        <v>503</v>
      </c>
      <c r="B504" s="82" t="s">
        <v>1353</v>
      </c>
      <c r="C504" s="83" t="s">
        <v>34</v>
      </c>
      <c r="D504" s="83" t="s">
        <v>35</v>
      </c>
      <c r="E504" s="84">
        <v>15</v>
      </c>
      <c r="F504" s="85">
        <v>20.96</v>
      </c>
      <c r="G504" s="83" t="s">
        <v>885</v>
      </c>
      <c r="H504" s="83" t="s">
        <v>419</v>
      </c>
      <c r="I504" s="85">
        <f>Planejamento2024[[#This Row],[Qnt de Itens]]*Planejamento2024[[#This Row],[Valor unitário]]</f>
        <v>314.40000000000003</v>
      </c>
      <c r="J504" s="83" t="s">
        <v>20</v>
      </c>
      <c r="K504" s="83" t="s">
        <v>492</v>
      </c>
      <c r="L504" s="86">
        <v>45292</v>
      </c>
      <c r="M504" s="83" t="s">
        <v>20</v>
      </c>
      <c r="N504" s="87" t="s">
        <v>1278</v>
      </c>
      <c r="O504" s="83" t="s">
        <v>827</v>
      </c>
    </row>
    <row r="505" spans="1:15" ht="18">
      <c r="A505" s="81">
        <f t="shared" si="7"/>
        <v>504</v>
      </c>
      <c r="B505" s="82" t="s">
        <v>1354</v>
      </c>
      <c r="C505" s="83" t="s">
        <v>34</v>
      </c>
      <c r="D505" s="83" t="s">
        <v>35</v>
      </c>
      <c r="E505" s="84">
        <v>15</v>
      </c>
      <c r="F505" s="85">
        <v>29.68</v>
      </c>
      <c r="G505" s="83" t="s">
        <v>885</v>
      </c>
      <c r="H505" s="83" t="s">
        <v>419</v>
      </c>
      <c r="I505" s="85">
        <f>Planejamento2024[[#This Row],[Qnt de Itens]]*Planejamento2024[[#This Row],[Valor unitário]]</f>
        <v>445.2</v>
      </c>
      <c r="J505" s="83" t="s">
        <v>20</v>
      </c>
      <c r="K505" s="83" t="s">
        <v>492</v>
      </c>
      <c r="L505" s="86">
        <v>45292</v>
      </c>
      <c r="M505" s="83" t="s">
        <v>20</v>
      </c>
      <c r="N505" s="87" t="s">
        <v>1278</v>
      </c>
      <c r="O505" s="83" t="s">
        <v>827</v>
      </c>
    </row>
    <row r="506" spans="1:15" ht="18">
      <c r="A506" s="81">
        <f t="shared" si="7"/>
        <v>505</v>
      </c>
      <c r="B506" s="82" t="s">
        <v>1355</v>
      </c>
      <c r="C506" s="83" t="s">
        <v>34</v>
      </c>
      <c r="D506" s="83" t="s">
        <v>35</v>
      </c>
      <c r="E506" s="84">
        <v>8</v>
      </c>
      <c r="F506" s="85">
        <v>36.340000000000003</v>
      </c>
      <c r="G506" s="83" t="s">
        <v>885</v>
      </c>
      <c r="H506" s="83" t="s">
        <v>419</v>
      </c>
      <c r="I506" s="85">
        <f>Planejamento2024[[#This Row],[Qnt de Itens]]*Planejamento2024[[#This Row],[Valor unitário]]</f>
        <v>290.72000000000003</v>
      </c>
      <c r="J506" s="83" t="s">
        <v>20</v>
      </c>
      <c r="K506" s="83" t="s">
        <v>478</v>
      </c>
      <c r="L506" s="86">
        <v>45292</v>
      </c>
      <c r="M506" s="83" t="s">
        <v>20</v>
      </c>
      <c r="N506" s="87" t="s">
        <v>1278</v>
      </c>
      <c r="O506" s="83" t="s">
        <v>827</v>
      </c>
    </row>
    <row r="507" spans="1:15" ht="18">
      <c r="A507" s="81">
        <f t="shared" si="7"/>
        <v>506</v>
      </c>
      <c r="B507" s="82" t="s">
        <v>1356</v>
      </c>
      <c r="C507" s="83" t="s">
        <v>34</v>
      </c>
      <c r="D507" s="83" t="s">
        <v>35</v>
      </c>
      <c r="E507" s="84">
        <v>30</v>
      </c>
      <c r="F507" s="85">
        <v>13.07</v>
      </c>
      <c r="G507" s="83" t="s">
        <v>885</v>
      </c>
      <c r="H507" s="83" t="s">
        <v>419</v>
      </c>
      <c r="I507" s="85">
        <f>Planejamento2024[[#This Row],[Qnt de Itens]]*Planejamento2024[[#This Row],[Valor unitário]]</f>
        <v>392.1</v>
      </c>
      <c r="J507" s="83" t="s">
        <v>20</v>
      </c>
      <c r="K507" s="83" t="s">
        <v>478</v>
      </c>
      <c r="L507" s="86">
        <v>45292</v>
      </c>
      <c r="M507" s="83" t="s">
        <v>20</v>
      </c>
      <c r="N507" s="87" t="s">
        <v>1278</v>
      </c>
      <c r="O507" s="83" t="s">
        <v>827</v>
      </c>
    </row>
    <row r="508" spans="1:15" ht="18">
      <c r="A508" s="81">
        <f t="shared" si="7"/>
        <v>507</v>
      </c>
      <c r="B508" s="82" t="s">
        <v>1357</v>
      </c>
      <c r="C508" s="83" t="s">
        <v>34</v>
      </c>
      <c r="D508" s="83" t="s">
        <v>35</v>
      </c>
      <c r="E508" s="84">
        <v>30</v>
      </c>
      <c r="F508" s="85">
        <v>6.34</v>
      </c>
      <c r="G508" s="83" t="s">
        <v>885</v>
      </c>
      <c r="H508" s="83" t="s">
        <v>419</v>
      </c>
      <c r="I508" s="85">
        <f>Planejamento2024[[#This Row],[Qnt de Itens]]*Planejamento2024[[#This Row],[Valor unitário]]</f>
        <v>190.2</v>
      </c>
      <c r="J508" s="83" t="s">
        <v>20</v>
      </c>
      <c r="K508" s="83" t="s">
        <v>478</v>
      </c>
      <c r="L508" s="86">
        <v>45292</v>
      </c>
      <c r="M508" s="83" t="s">
        <v>20</v>
      </c>
      <c r="N508" s="87" t="s">
        <v>1278</v>
      </c>
      <c r="O508" s="83" t="s">
        <v>827</v>
      </c>
    </row>
    <row r="509" spans="1:15" ht="27">
      <c r="A509" s="81">
        <f t="shared" si="7"/>
        <v>508</v>
      </c>
      <c r="B509" s="82" t="s">
        <v>1358</v>
      </c>
      <c r="C509" s="83" t="s">
        <v>34</v>
      </c>
      <c r="D509" s="83" t="s">
        <v>35</v>
      </c>
      <c r="E509" s="84">
        <v>10</v>
      </c>
      <c r="F509" s="85">
        <v>31.7</v>
      </c>
      <c r="G509" s="83" t="s">
        <v>885</v>
      </c>
      <c r="H509" s="83" t="s">
        <v>419</v>
      </c>
      <c r="I509" s="85">
        <f>Planejamento2024[[#This Row],[Qnt de Itens]]*Planejamento2024[[#This Row],[Valor unitário]]</f>
        <v>317</v>
      </c>
      <c r="J509" s="83" t="s">
        <v>20</v>
      </c>
      <c r="K509" s="83" t="s">
        <v>492</v>
      </c>
      <c r="L509" s="86">
        <v>45292</v>
      </c>
      <c r="M509" s="83" t="s">
        <v>20</v>
      </c>
      <c r="N509" s="87" t="s">
        <v>1278</v>
      </c>
      <c r="O509" s="83" t="s">
        <v>827</v>
      </c>
    </row>
    <row r="510" spans="1:15" ht="18">
      <c r="A510" s="81">
        <f t="shared" si="7"/>
        <v>509</v>
      </c>
      <c r="B510" s="82" t="s">
        <v>1359</v>
      </c>
      <c r="C510" s="83" t="s">
        <v>34</v>
      </c>
      <c r="D510" s="83" t="s">
        <v>35</v>
      </c>
      <c r="E510" s="84">
        <v>300</v>
      </c>
      <c r="F510" s="85">
        <v>4.82</v>
      </c>
      <c r="G510" s="83" t="s">
        <v>885</v>
      </c>
      <c r="H510" s="83" t="s">
        <v>1360</v>
      </c>
      <c r="I510" s="85">
        <f>Planejamento2024[[#This Row],[Qnt de Itens]]*Planejamento2024[[#This Row],[Valor unitário]]</f>
        <v>1446</v>
      </c>
      <c r="J510" s="83" t="s">
        <v>20</v>
      </c>
      <c r="K510" s="83" t="s">
        <v>478</v>
      </c>
      <c r="L510" s="86">
        <v>45292</v>
      </c>
      <c r="M510" s="83" t="s">
        <v>20</v>
      </c>
      <c r="N510" s="87" t="s">
        <v>1361</v>
      </c>
      <c r="O510" s="83" t="s">
        <v>827</v>
      </c>
    </row>
    <row r="511" spans="1:15" ht="18">
      <c r="A511" s="81">
        <f t="shared" si="7"/>
        <v>510</v>
      </c>
      <c r="B511" s="82" t="s">
        <v>1362</v>
      </c>
      <c r="C511" s="83" t="s">
        <v>34</v>
      </c>
      <c r="D511" s="83" t="s">
        <v>35</v>
      </c>
      <c r="E511" s="84">
        <v>300</v>
      </c>
      <c r="F511" s="85">
        <v>3.53</v>
      </c>
      <c r="G511" s="83" t="s">
        <v>885</v>
      </c>
      <c r="H511" s="83" t="s">
        <v>1360</v>
      </c>
      <c r="I511" s="85">
        <f>Planejamento2024[[#This Row],[Qnt de Itens]]*Planejamento2024[[#This Row],[Valor unitário]]</f>
        <v>1059</v>
      </c>
      <c r="J511" s="83" t="s">
        <v>20</v>
      </c>
      <c r="K511" s="83" t="s">
        <v>478</v>
      </c>
      <c r="L511" s="86">
        <v>45292</v>
      </c>
      <c r="M511" s="83" t="s">
        <v>20</v>
      </c>
      <c r="N511" s="87" t="s">
        <v>1361</v>
      </c>
      <c r="O511" s="83" t="s">
        <v>827</v>
      </c>
    </row>
    <row r="512" spans="1:15" ht="18">
      <c r="A512" s="81">
        <f t="shared" si="7"/>
        <v>511</v>
      </c>
      <c r="B512" s="82" t="s">
        <v>1363</v>
      </c>
      <c r="C512" s="83" t="s">
        <v>34</v>
      </c>
      <c r="D512" s="83" t="s">
        <v>35</v>
      </c>
      <c r="E512" s="84">
        <v>200</v>
      </c>
      <c r="F512" s="85">
        <v>6.46</v>
      </c>
      <c r="G512" s="83" t="s">
        <v>885</v>
      </c>
      <c r="H512" s="83" t="s">
        <v>1360</v>
      </c>
      <c r="I512" s="85">
        <f>Planejamento2024[[#This Row],[Qnt de Itens]]*Planejamento2024[[#This Row],[Valor unitário]]</f>
        <v>1292</v>
      </c>
      <c r="J512" s="83" t="s">
        <v>20</v>
      </c>
      <c r="K512" s="83" t="s">
        <v>478</v>
      </c>
      <c r="L512" s="86">
        <v>45292</v>
      </c>
      <c r="M512" s="83" t="s">
        <v>20</v>
      </c>
      <c r="N512" s="87" t="s">
        <v>1361</v>
      </c>
      <c r="O512" s="83" t="s">
        <v>827</v>
      </c>
    </row>
    <row r="513" spans="1:15" ht="18">
      <c r="A513" s="81">
        <f t="shared" si="7"/>
        <v>512</v>
      </c>
      <c r="B513" s="82" t="s">
        <v>1364</v>
      </c>
      <c r="C513" s="83" t="s">
        <v>34</v>
      </c>
      <c r="D513" s="83" t="s">
        <v>35</v>
      </c>
      <c r="E513" s="84">
        <v>300</v>
      </c>
      <c r="F513" s="85">
        <v>4.26</v>
      </c>
      <c r="G513" s="83" t="s">
        <v>885</v>
      </c>
      <c r="H513" s="83" t="s">
        <v>1360</v>
      </c>
      <c r="I513" s="85">
        <f>Planejamento2024[[#This Row],[Qnt de Itens]]*Planejamento2024[[#This Row],[Valor unitário]]</f>
        <v>1278</v>
      </c>
      <c r="J513" s="83" t="s">
        <v>20</v>
      </c>
      <c r="K513" s="83" t="s">
        <v>478</v>
      </c>
      <c r="L513" s="86">
        <v>45292</v>
      </c>
      <c r="M513" s="83" t="s">
        <v>20</v>
      </c>
      <c r="N513" s="87" t="s">
        <v>1361</v>
      </c>
      <c r="O513" s="83" t="s">
        <v>827</v>
      </c>
    </row>
    <row r="514" spans="1:15" ht="27">
      <c r="A514" s="81">
        <f t="shared" ref="A514:A577" si="8">ROW(A513)</f>
        <v>513</v>
      </c>
      <c r="B514" s="82" t="s">
        <v>1365</v>
      </c>
      <c r="C514" s="83" t="s">
        <v>34</v>
      </c>
      <c r="D514" s="83" t="s">
        <v>35</v>
      </c>
      <c r="E514" s="84">
        <v>300</v>
      </c>
      <c r="F514" s="85">
        <v>14.89</v>
      </c>
      <c r="G514" s="83" t="s">
        <v>885</v>
      </c>
      <c r="H514" s="83" t="s">
        <v>1360</v>
      </c>
      <c r="I514" s="85">
        <f>Planejamento2024[[#This Row],[Qnt de Itens]]*Planejamento2024[[#This Row],[Valor unitário]]</f>
        <v>4467</v>
      </c>
      <c r="J514" s="83" t="s">
        <v>20</v>
      </c>
      <c r="K514" s="83" t="s">
        <v>478</v>
      </c>
      <c r="L514" s="86">
        <v>45292</v>
      </c>
      <c r="M514" s="83" t="s">
        <v>20</v>
      </c>
      <c r="N514" s="87" t="s">
        <v>1361</v>
      </c>
      <c r="O514" s="83" t="s">
        <v>827</v>
      </c>
    </row>
    <row r="515" spans="1:15" ht="45">
      <c r="A515" s="81">
        <f t="shared" si="8"/>
        <v>514</v>
      </c>
      <c r="B515" s="82" t="s">
        <v>1366</v>
      </c>
      <c r="C515" s="83" t="s">
        <v>34</v>
      </c>
      <c r="D515" s="83" t="s">
        <v>35</v>
      </c>
      <c r="E515" s="84">
        <v>300</v>
      </c>
      <c r="F515" s="85">
        <v>41.95</v>
      </c>
      <c r="G515" s="83" t="s">
        <v>885</v>
      </c>
      <c r="H515" s="83" t="s">
        <v>1360</v>
      </c>
      <c r="I515" s="85">
        <f>Planejamento2024[[#This Row],[Qnt de Itens]]*Planejamento2024[[#This Row],[Valor unitário]]</f>
        <v>12585</v>
      </c>
      <c r="J515" s="83" t="s">
        <v>20</v>
      </c>
      <c r="K515" s="83" t="s">
        <v>478</v>
      </c>
      <c r="L515" s="86">
        <v>45292</v>
      </c>
      <c r="M515" s="83" t="s">
        <v>20</v>
      </c>
      <c r="N515" s="87" t="s">
        <v>1361</v>
      </c>
      <c r="O515" s="83" t="s">
        <v>827</v>
      </c>
    </row>
    <row r="516" spans="1:15" ht="45">
      <c r="A516" s="81">
        <f t="shared" si="8"/>
        <v>515</v>
      </c>
      <c r="B516" s="82" t="s">
        <v>1367</v>
      </c>
      <c r="C516" s="83" t="s">
        <v>34</v>
      </c>
      <c r="D516" s="83" t="s">
        <v>35</v>
      </c>
      <c r="E516" s="84">
        <v>150</v>
      </c>
      <c r="F516" s="85">
        <v>20.56</v>
      </c>
      <c r="G516" s="83" t="s">
        <v>890</v>
      </c>
      <c r="H516" s="83" t="s">
        <v>1360</v>
      </c>
      <c r="I516" s="85">
        <f>Planejamento2024[[#This Row],[Qnt de Itens]]*Planejamento2024[[#This Row],[Valor unitário]]</f>
        <v>3084</v>
      </c>
      <c r="J516" s="83" t="s">
        <v>20</v>
      </c>
      <c r="K516" s="83" t="s">
        <v>478</v>
      </c>
      <c r="L516" s="86">
        <v>45292</v>
      </c>
      <c r="M516" s="83" t="s">
        <v>20</v>
      </c>
      <c r="N516" s="87" t="s">
        <v>1361</v>
      </c>
      <c r="O516" s="83" t="s">
        <v>827</v>
      </c>
    </row>
    <row r="517" spans="1:15" ht="45">
      <c r="A517" s="81">
        <f t="shared" si="8"/>
        <v>516</v>
      </c>
      <c r="B517" s="82" t="s">
        <v>1368</v>
      </c>
      <c r="C517" s="83" t="s">
        <v>34</v>
      </c>
      <c r="D517" s="83" t="s">
        <v>35</v>
      </c>
      <c r="E517" s="84">
        <v>150</v>
      </c>
      <c r="F517" s="85">
        <v>35.9</v>
      </c>
      <c r="G517" s="83" t="s">
        <v>890</v>
      </c>
      <c r="H517" s="83" t="s">
        <v>1360</v>
      </c>
      <c r="I517" s="85">
        <f>Planejamento2024[[#This Row],[Qnt de Itens]]*Planejamento2024[[#This Row],[Valor unitário]]</f>
        <v>5385</v>
      </c>
      <c r="J517" s="83" t="s">
        <v>20</v>
      </c>
      <c r="K517" s="83" t="s">
        <v>478</v>
      </c>
      <c r="L517" s="86">
        <v>45292</v>
      </c>
      <c r="M517" s="83" t="s">
        <v>20</v>
      </c>
      <c r="N517" s="87" t="s">
        <v>1361</v>
      </c>
      <c r="O517" s="83" t="s">
        <v>827</v>
      </c>
    </row>
    <row r="518" spans="1:15" ht="18">
      <c r="A518" s="81">
        <f t="shared" si="8"/>
        <v>517</v>
      </c>
      <c r="B518" s="82" t="s">
        <v>1369</v>
      </c>
      <c r="C518" s="83" t="s">
        <v>34</v>
      </c>
      <c r="D518" s="83" t="s">
        <v>35</v>
      </c>
      <c r="E518" s="84">
        <v>500</v>
      </c>
      <c r="F518" s="85">
        <v>4.7300000000000004</v>
      </c>
      <c r="G518" s="83" t="s">
        <v>885</v>
      </c>
      <c r="H518" s="83" t="s">
        <v>1360</v>
      </c>
      <c r="I518" s="85">
        <f>Planejamento2024[[#This Row],[Qnt de Itens]]*Planejamento2024[[#This Row],[Valor unitário]]</f>
        <v>2365</v>
      </c>
      <c r="J518" s="83" t="s">
        <v>20</v>
      </c>
      <c r="K518" s="83" t="s">
        <v>478</v>
      </c>
      <c r="L518" s="86">
        <v>45292</v>
      </c>
      <c r="M518" s="83" t="s">
        <v>20</v>
      </c>
      <c r="N518" s="87" t="s">
        <v>1361</v>
      </c>
      <c r="O518" s="83" t="s">
        <v>827</v>
      </c>
    </row>
    <row r="519" spans="1:15" ht="27">
      <c r="A519" s="81">
        <f t="shared" si="8"/>
        <v>518</v>
      </c>
      <c r="B519" s="82" t="s">
        <v>1370</v>
      </c>
      <c r="C519" s="83" t="s">
        <v>34</v>
      </c>
      <c r="D519" s="83" t="s">
        <v>35</v>
      </c>
      <c r="E519" s="84">
        <v>200</v>
      </c>
      <c r="F519" s="85">
        <v>37.6</v>
      </c>
      <c r="G519" s="83" t="s">
        <v>885</v>
      </c>
      <c r="H519" s="83" t="s">
        <v>1360</v>
      </c>
      <c r="I519" s="85">
        <f>Planejamento2024[[#This Row],[Qnt de Itens]]*Planejamento2024[[#This Row],[Valor unitário]]</f>
        <v>7520</v>
      </c>
      <c r="J519" s="83" t="s">
        <v>20</v>
      </c>
      <c r="K519" s="83" t="s">
        <v>478</v>
      </c>
      <c r="L519" s="86">
        <v>45292</v>
      </c>
      <c r="M519" s="83" t="s">
        <v>20</v>
      </c>
      <c r="N519" s="87" t="s">
        <v>1361</v>
      </c>
      <c r="O519" s="83" t="s">
        <v>827</v>
      </c>
    </row>
    <row r="520" spans="1:15" ht="27">
      <c r="A520" s="81">
        <f t="shared" si="8"/>
        <v>519</v>
      </c>
      <c r="B520" s="82" t="s">
        <v>1371</v>
      </c>
      <c r="C520" s="83" t="s">
        <v>34</v>
      </c>
      <c r="D520" s="83" t="s">
        <v>35</v>
      </c>
      <c r="E520" s="84">
        <v>200</v>
      </c>
      <c r="F520" s="85">
        <v>71.239999999999995</v>
      </c>
      <c r="G520" s="83" t="s">
        <v>885</v>
      </c>
      <c r="H520" s="83" t="s">
        <v>1360</v>
      </c>
      <c r="I520" s="85">
        <f>Planejamento2024[[#This Row],[Qnt de Itens]]*Planejamento2024[[#This Row],[Valor unitário]]</f>
        <v>14247.999999999998</v>
      </c>
      <c r="J520" s="83" t="s">
        <v>20</v>
      </c>
      <c r="K520" s="83" t="s">
        <v>478</v>
      </c>
      <c r="L520" s="86">
        <v>45292</v>
      </c>
      <c r="M520" s="83" t="s">
        <v>20</v>
      </c>
      <c r="N520" s="87" t="s">
        <v>1361</v>
      </c>
      <c r="O520" s="83" t="s">
        <v>827</v>
      </c>
    </row>
    <row r="521" spans="1:15" ht="27">
      <c r="A521" s="81">
        <f t="shared" si="8"/>
        <v>520</v>
      </c>
      <c r="B521" s="82" t="s">
        <v>1372</v>
      </c>
      <c r="C521" s="83" t="s">
        <v>34</v>
      </c>
      <c r="D521" s="83" t="s">
        <v>35</v>
      </c>
      <c r="E521" s="84">
        <v>200</v>
      </c>
      <c r="F521" s="85">
        <v>112.81</v>
      </c>
      <c r="G521" s="83" t="s">
        <v>885</v>
      </c>
      <c r="H521" s="83" t="s">
        <v>1360</v>
      </c>
      <c r="I521" s="85">
        <f>Planejamento2024[[#This Row],[Qnt de Itens]]*Planejamento2024[[#This Row],[Valor unitário]]</f>
        <v>22562</v>
      </c>
      <c r="J521" s="83" t="s">
        <v>20</v>
      </c>
      <c r="K521" s="83" t="s">
        <v>478</v>
      </c>
      <c r="L521" s="86">
        <v>45292</v>
      </c>
      <c r="M521" s="83" t="s">
        <v>20</v>
      </c>
      <c r="N521" s="87" t="s">
        <v>1361</v>
      </c>
      <c r="O521" s="83" t="s">
        <v>827</v>
      </c>
    </row>
    <row r="522" spans="1:15" ht="18">
      <c r="A522" s="81">
        <f t="shared" si="8"/>
        <v>521</v>
      </c>
      <c r="B522" s="82" t="s">
        <v>1373</v>
      </c>
      <c r="C522" s="83" t="s">
        <v>34</v>
      </c>
      <c r="D522" s="83" t="s">
        <v>35</v>
      </c>
      <c r="E522" s="84">
        <v>200</v>
      </c>
      <c r="F522" s="85">
        <v>31.32</v>
      </c>
      <c r="G522" s="83" t="s">
        <v>885</v>
      </c>
      <c r="H522" s="83" t="s">
        <v>1360</v>
      </c>
      <c r="I522" s="85">
        <f>Planejamento2024[[#This Row],[Qnt de Itens]]*Planejamento2024[[#This Row],[Valor unitário]]</f>
        <v>6264</v>
      </c>
      <c r="J522" s="83" t="s">
        <v>20</v>
      </c>
      <c r="K522" s="83" t="s">
        <v>478</v>
      </c>
      <c r="L522" s="86">
        <v>45292</v>
      </c>
      <c r="M522" s="83" t="s">
        <v>20</v>
      </c>
      <c r="N522" s="87" t="s">
        <v>1361</v>
      </c>
      <c r="O522" s="83" t="s">
        <v>827</v>
      </c>
    </row>
    <row r="523" spans="1:15" ht="45">
      <c r="A523" s="81">
        <f t="shared" si="8"/>
        <v>522</v>
      </c>
      <c r="B523" s="82" t="s">
        <v>1374</v>
      </c>
      <c r="C523" s="83" t="s">
        <v>34</v>
      </c>
      <c r="D523" s="83" t="s">
        <v>35</v>
      </c>
      <c r="E523" s="84">
        <v>300</v>
      </c>
      <c r="F523" s="85">
        <v>7.33</v>
      </c>
      <c r="G523" s="83" t="s">
        <v>885</v>
      </c>
      <c r="H523" s="83" t="s">
        <v>1360</v>
      </c>
      <c r="I523" s="85">
        <f>Planejamento2024[[#This Row],[Qnt de Itens]]*Planejamento2024[[#This Row],[Valor unitário]]</f>
        <v>2199</v>
      </c>
      <c r="J523" s="83" t="s">
        <v>20</v>
      </c>
      <c r="K523" s="83" t="s">
        <v>478</v>
      </c>
      <c r="L523" s="86">
        <v>45292</v>
      </c>
      <c r="M523" s="83" t="s">
        <v>20</v>
      </c>
      <c r="N523" s="87" t="s">
        <v>1361</v>
      </c>
      <c r="O523" s="83" t="s">
        <v>827</v>
      </c>
    </row>
    <row r="524" spans="1:15" ht="54">
      <c r="A524" s="81">
        <f t="shared" si="8"/>
        <v>523</v>
      </c>
      <c r="B524" s="82" t="s">
        <v>1375</v>
      </c>
      <c r="C524" s="83" t="s">
        <v>34</v>
      </c>
      <c r="D524" s="83" t="s">
        <v>35</v>
      </c>
      <c r="E524" s="84">
        <v>200</v>
      </c>
      <c r="F524" s="85">
        <v>220.97</v>
      </c>
      <c r="G524" s="83" t="s">
        <v>885</v>
      </c>
      <c r="H524" s="83" t="s">
        <v>1360</v>
      </c>
      <c r="I524" s="85">
        <f>Planejamento2024[[#This Row],[Qnt de Itens]]*Planejamento2024[[#This Row],[Valor unitário]]</f>
        <v>44194</v>
      </c>
      <c r="J524" s="83" t="s">
        <v>20</v>
      </c>
      <c r="K524" s="83" t="s">
        <v>478</v>
      </c>
      <c r="L524" s="86">
        <v>45292</v>
      </c>
      <c r="M524" s="83" t="s">
        <v>20</v>
      </c>
      <c r="N524" s="87" t="s">
        <v>1361</v>
      </c>
      <c r="O524" s="83" t="s">
        <v>827</v>
      </c>
    </row>
    <row r="525" spans="1:15" ht="18">
      <c r="A525" s="81">
        <f t="shared" si="8"/>
        <v>524</v>
      </c>
      <c r="B525" s="82" t="s">
        <v>1376</v>
      </c>
      <c r="C525" s="83" t="s">
        <v>34</v>
      </c>
      <c r="D525" s="83" t="s">
        <v>35</v>
      </c>
      <c r="E525" s="84">
        <v>300</v>
      </c>
      <c r="F525" s="85">
        <v>21.97</v>
      </c>
      <c r="G525" s="83" t="s">
        <v>885</v>
      </c>
      <c r="H525" s="83" t="s">
        <v>1360</v>
      </c>
      <c r="I525" s="85">
        <f>Planejamento2024[[#This Row],[Qnt de Itens]]*Planejamento2024[[#This Row],[Valor unitário]]</f>
        <v>6591</v>
      </c>
      <c r="J525" s="83" t="s">
        <v>20</v>
      </c>
      <c r="K525" s="83" t="s">
        <v>478</v>
      </c>
      <c r="L525" s="86">
        <v>45292</v>
      </c>
      <c r="M525" s="83" t="s">
        <v>20</v>
      </c>
      <c r="N525" s="87" t="s">
        <v>1361</v>
      </c>
      <c r="O525" s="83" t="s">
        <v>827</v>
      </c>
    </row>
    <row r="526" spans="1:15" ht="36">
      <c r="A526" s="81">
        <f t="shared" si="8"/>
        <v>525</v>
      </c>
      <c r="B526" s="82" t="s">
        <v>1377</v>
      </c>
      <c r="C526" s="83" t="s">
        <v>34</v>
      </c>
      <c r="D526" s="83" t="s">
        <v>35</v>
      </c>
      <c r="E526" s="84">
        <v>30</v>
      </c>
      <c r="F526" s="85">
        <v>101.82</v>
      </c>
      <c r="G526" s="83" t="s">
        <v>885</v>
      </c>
      <c r="H526" s="83" t="s">
        <v>1360</v>
      </c>
      <c r="I526" s="85">
        <f>Planejamento2024[[#This Row],[Qnt de Itens]]*Planejamento2024[[#This Row],[Valor unitário]]</f>
        <v>3054.6</v>
      </c>
      <c r="J526" s="83" t="s">
        <v>20</v>
      </c>
      <c r="K526" s="83" t="s">
        <v>478</v>
      </c>
      <c r="L526" s="86">
        <v>45292</v>
      </c>
      <c r="M526" s="83" t="s">
        <v>20</v>
      </c>
      <c r="N526" s="87" t="s">
        <v>1361</v>
      </c>
      <c r="O526" s="83" t="s">
        <v>827</v>
      </c>
    </row>
    <row r="527" spans="1:15" ht="45">
      <c r="A527" s="81">
        <f t="shared" si="8"/>
        <v>526</v>
      </c>
      <c r="B527" s="82" t="s">
        <v>1378</v>
      </c>
      <c r="C527" s="83" t="s">
        <v>34</v>
      </c>
      <c r="D527" s="83" t="s">
        <v>35</v>
      </c>
      <c r="E527" s="84">
        <v>20</v>
      </c>
      <c r="F527" s="85">
        <v>122.41</v>
      </c>
      <c r="G527" s="83" t="s">
        <v>885</v>
      </c>
      <c r="H527" s="83" t="s">
        <v>1360</v>
      </c>
      <c r="I527" s="85">
        <f>Planejamento2024[[#This Row],[Qnt de Itens]]*Planejamento2024[[#This Row],[Valor unitário]]</f>
        <v>2448.1999999999998</v>
      </c>
      <c r="J527" s="83" t="s">
        <v>20</v>
      </c>
      <c r="K527" s="83" t="s">
        <v>478</v>
      </c>
      <c r="L527" s="86">
        <v>45292</v>
      </c>
      <c r="M527" s="83" t="s">
        <v>20</v>
      </c>
      <c r="N527" s="87" t="s">
        <v>1361</v>
      </c>
      <c r="O527" s="83" t="s">
        <v>827</v>
      </c>
    </row>
    <row r="528" spans="1:15" ht="18">
      <c r="A528" s="81">
        <f t="shared" si="8"/>
        <v>527</v>
      </c>
      <c r="B528" s="82" t="s">
        <v>1379</v>
      </c>
      <c r="C528" s="83" t="s">
        <v>34</v>
      </c>
      <c r="D528" s="83" t="s">
        <v>35</v>
      </c>
      <c r="E528" s="84">
        <v>50</v>
      </c>
      <c r="F528" s="85">
        <v>67.11</v>
      </c>
      <c r="G528" s="83" t="s">
        <v>885</v>
      </c>
      <c r="H528" s="83" t="s">
        <v>1360</v>
      </c>
      <c r="I528" s="85">
        <f>Planejamento2024[[#This Row],[Qnt de Itens]]*Planejamento2024[[#This Row],[Valor unitário]]</f>
        <v>3355.5</v>
      </c>
      <c r="J528" s="83" t="s">
        <v>20</v>
      </c>
      <c r="K528" s="83" t="s">
        <v>478</v>
      </c>
      <c r="L528" s="86">
        <v>45292</v>
      </c>
      <c r="M528" s="83" t="s">
        <v>20</v>
      </c>
      <c r="N528" s="87" t="s">
        <v>1361</v>
      </c>
      <c r="O528" s="83" t="s">
        <v>827</v>
      </c>
    </row>
    <row r="529" spans="1:15" ht="36">
      <c r="A529" s="81">
        <f t="shared" si="8"/>
        <v>528</v>
      </c>
      <c r="B529" s="82" t="s">
        <v>1380</v>
      </c>
      <c r="C529" s="83" t="s">
        <v>34</v>
      </c>
      <c r="D529" s="83" t="s">
        <v>35</v>
      </c>
      <c r="E529" s="84">
        <v>30</v>
      </c>
      <c r="F529" s="85">
        <v>63.46</v>
      </c>
      <c r="G529" s="83" t="s">
        <v>885</v>
      </c>
      <c r="H529" s="83" t="s">
        <v>1360</v>
      </c>
      <c r="I529" s="85">
        <f>Planejamento2024[[#This Row],[Qnt de Itens]]*Planejamento2024[[#This Row],[Valor unitário]]</f>
        <v>1903.8</v>
      </c>
      <c r="J529" s="83" t="s">
        <v>20</v>
      </c>
      <c r="K529" s="83" t="s">
        <v>478</v>
      </c>
      <c r="L529" s="86">
        <v>45292</v>
      </c>
      <c r="M529" s="83" t="s">
        <v>20</v>
      </c>
      <c r="N529" s="87" t="s">
        <v>1361</v>
      </c>
      <c r="O529" s="83" t="s">
        <v>827</v>
      </c>
    </row>
    <row r="530" spans="1:15" ht="27">
      <c r="A530" s="81">
        <f t="shared" si="8"/>
        <v>529</v>
      </c>
      <c r="B530" s="82" t="s">
        <v>1381</v>
      </c>
      <c r="C530" s="83" t="s">
        <v>34</v>
      </c>
      <c r="D530" s="83" t="s">
        <v>35</v>
      </c>
      <c r="E530" s="84">
        <v>30</v>
      </c>
      <c r="F530" s="85">
        <v>72.45</v>
      </c>
      <c r="G530" s="83" t="s">
        <v>885</v>
      </c>
      <c r="H530" s="83" t="s">
        <v>1360</v>
      </c>
      <c r="I530" s="85">
        <f>Planejamento2024[[#This Row],[Qnt de Itens]]*Planejamento2024[[#This Row],[Valor unitário]]</f>
        <v>2173.5</v>
      </c>
      <c r="J530" s="83" t="s">
        <v>20</v>
      </c>
      <c r="K530" s="83" t="s">
        <v>478</v>
      </c>
      <c r="L530" s="86">
        <v>45292</v>
      </c>
      <c r="M530" s="83" t="s">
        <v>20</v>
      </c>
      <c r="N530" s="87" t="s">
        <v>1361</v>
      </c>
      <c r="O530" s="83" t="s">
        <v>827</v>
      </c>
    </row>
    <row r="531" spans="1:15" ht="27">
      <c r="A531" s="81">
        <f t="shared" si="8"/>
        <v>530</v>
      </c>
      <c r="B531" s="82" t="s">
        <v>1382</v>
      </c>
      <c r="C531" s="83" t="s">
        <v>34</v>
      </c>
      <c r="D531" s="83" t="s">
        <v>35</v>
      </c>
      <c r="E531" s="84">
        <v>10</v>
      </c>
      <c r="F531" s="85">
        <v>97.46</v>
      </c>
      <c r="G531" s="83" t="s">
        <v>885</v>
      </c>
      <c r="H531" s="83" t="s">
        <v>1360</v>
      </c>
      <c r="I531" s="85">
        <f>Planejamento2024[[#This Row],[Qnt de Itens]]*Planejamento2024[[#This Row],[Valor unitário]]</f>
        <v>974.59999999999991</v>
      </c>
      <c r="J531" s="83" t="s">
        <v>20</v>
      </c>
      <c r="K531" s="83" t="s">
        <v>478</v>
      </c>
      <c r="L531" s="86">
        <v>45292</v>
      </c>
      <c r="M531" s="83" t="s">
        <v>20</v>
      </c>
      <c r="N531" s="87" t="s">
        <v>1361</v>
      </c>
      <c r="O531" s="83" t="s">
        <v>827</v>
      </c>
    </row>
    <row r="532" spans="1:15" ht="18">
      <c r="A532" s="81">
        <f t="shared" si="8"/>
        <v>531</v>
      </c>
      <c r="B532" s="82" t="s">
        <v>1383</v>
      </c>
      <c r="C532" s="83" t="s">
        <v>34</v>
      </c>
      <c r="D532" s="83" t="s">
        <v>35</v>
      </c>
      <c r="E532" s="84">
        <v>120</v>
      </c>
      <c r="F532" s="85">
        <v>69.489999999999995</v>
      </c>
      <c r="G532" s="83" t="s">
        <v>885</v>
      </c>
      <c r="H532" s="83" t="s">
        <v>1360</v>
      </c>
      <c r="I532" s="85">
        <f>Planejamento2024[[#This Row],[Qnt de Itens]]*Planejamento2024[[#This Row],[Valor unitário]]</f>
        <v>8338.7999999999993</v>
      </c>
      <c r="J532" s="83" t="s">
        <v>20</v>
      </c>
      <c r="K532" s="83" t="s">
        <v>478</v>
      </c>
      <c r="L532" s="86">
        <v>45292</v>
      </c>
      <c r="M532" s="83" t="s">
        <v>20</v>
      </c>
      <c r="N532" s="87" t="s">
        <v>1361</v>
      </c>
      <c r="O532" s="83" t="s">
        <v>827</v>
      </c>
    </row>
    <row r="533" spans="1:15" ht="18">
      <c r="A533" s="81">
        <f t="shared" si="8"/>
        <v>532</v>
      </c>
      <c r="B533" s="82" t="s">
        <v>1384</v>
      </c>
      <c r="C533" s="83" t="s">
        <v>34</v>
      </c>
      <c r="D533" s="83" t="s">
        <v>35</v>
      </c>
      <c r="E533" s="84">
        <v>100</v>
      </c>
      <c r="F533" s="85">
        <v>137.63</v>
      </c>
      <c r="G533" s="83" t="s">
        <v>885</v>
      </c>
      <c r="H533" s="83" t="s">
        <v>1360</v>
      </c>
      <c r="I533" s="85">
        <f>Planejamento2024[[#This Row],[Qnt de Itens]]*Planejamento2024[[#This Row],[Valor unitário]]</f>
        <v>13763</v>
      </c>
      <c r="J533" s="83" t="s">
        <v>20</v>
      </c>
      <c r="K533" s="83" t="s">
        <v>478</v>
      </c>
      <c r="L533" s="86">
        <v>45292</v>
      </c>
      <c r="M533" s="83" t="s">
        <v>20</v>
      </c>
      <c r="N533" s="87" t="s">
        <v>1361</v>
      </c>
      <c r="O533" s="83" t="s">
        <v>827</v>
      </c>
    </row>
    <row r="534" spans="1:15" ht="18">
      <c r="A534" s="81">
        <f t="shared" si="8"/>
        <v>533</v>
      </c>
      <c r="B534" s="82" t="s">
        <v>1385</v>
      </c>
      <c r="C534" s="83" t="s">
        <v>34</v>
      </c>
      <c r="D534" s="83" t="s">
        <v>35</v>
      </c>
      <c r="E534" s="84">
        <v>100</v>
      </c>
      <c r="F534" s="85">
        <v>235.75</v>
      </c>
      <c r="G534" s="83" t="s">
        <v>885</v>
      </c>
      <c r="H534" s="83" t="s">
        <v>1360</v>
      </c>
      <c r="I534" s="85">
        <f>Planejamento2024[[#This Row],[Qnt de Itens]]*Planejamento2024[[#This Row],[Valor unitário]]</f>
        <v>23575</v>
      </c>
      <c r="J534" s="83" t="s">
        <v>20</v>
      </c>
      <c r="K534" s="83" t="s">
        <v>478</v>
      </c>
      <c r="L534" s="86">
        <v>45292</v>
      </c>
      <c r="M534" s="83" t="s">
        <v>20</v>
      </c>
      <c r="N534" s="87" t="s">
        <v>1361</v>
      </c>
      <c r="O534" s="83" t="s">
        <v>827</v>
      </c>
    </row>
    <row r="535" spans="1:15" ht="18">
      <c r="A535" s="81">
        <f t="shared" si="8"/>
        <v>534</v>
      </c>
      <c r="B535" s="82" t="s">
        <v>1386</v>
      </c>
      <c r="C535" s="83" t="s">
        <v>34</v>
      </c>
      <c r="D535" s="83" t="s">
        <v>35</v>
      </c>
      <c r="E535" s="84">
        <v>300</v>
      </c>
      <c r="F535" s="85">
        <v>5.7</v>
      </c>
      <c r="G535" s="83" t="s">
        <v>885</v>
      </c>
      <c r="H535" s="83" t="s">
        <v>1360</v>
      </c>
      <c r="I535" s="85">
        <f>Planejamento2024[[#This Row],[Qnt de Itens]]*Planejamento2024[[#This Row],[Valor unitário]]</f>
        <v>1710</v>
      </c>
      <c r="J535" s="83" t="s">
        <v>20</v>
      </c>
      <c r="K535" s="83" t="s">
        <v>478</v>
      </c>
      <c r="L535" s="86">
        <v>45292</v>
      </c>
      <c r="M535" s="83" t="s">
        <v>20</v>
      </c>
      <c r="N535" s="87" t="s">
        <v>1361</v>
      </c>
      <c r="O535" s="83" t="s">
        <v>827</v>
      </c>
    </row>
    <row r="536" spans="1:15" ht="18">
      <c r="A536" s="81">
        <f t="shared" si="8"/>
        <v>535</v>
      </c>
      <c r="B536" s="82" t="s">
        <v>1387</v>
      </c>
      <c r="C536" s="83" t="s">
        <v>34</v>
      </c>
      <c r="D536" s="83" t="s">
        <v>35</v>
      </c>
      <c r="E536" s="84">
        <v>300</v>
      </c>
      <c r="F536" s="85">
        <v>9.17</v>
      </c>
      <c r="G536" s="83" t="s">
        <v>885</v>
      </c>
      <c r="H536" s="83" t="s">
        <v>1360</v>
      </c>
      <c r="I536" s="85">
        <f>Planejamento2024[[#This Row],[Qnt de Itens]]*Planejamento2024[[#This Row],[Valor unitário]]</f>
        <v>2751</v>
      </c>
      <c r="J536" s="83" t="s">
        <v>20</v>
      </c>
      <c r="K536" s="83" t="s">
        <v>478</v>
      </c>
      <c r="L536" s="86">
        <v>45292</v>
      </c>
      <c r="M536" s="83" t="s">
        <v>20</v>
      </c>
      <c r="N536" s="87" t="s">
        <v>1361</v>
      </c>
      <c r="O536" s="83" t="s">
        <v>827</v>
      </c>
    </row>
    <row r="537" spans="1:15" ht="45">
      <c r="A537" s="81">
        <f t="shared" si="8"/>
        <v>536</v>
      </c>
      <c r="B537" s="82" t="s">
        <v>1388</v>
      </c>
      <c r="C537" s="83" t="s">
        <v>34</v>
      </c>
      <c r="D537" s="83" t="s">
        <v>35</v>
      </c>
      <c r="E537" s="84">
        <v>300</v>
      </c>
      <c r="F537" s="85">
        <v>39.049999999999997</v>
      </c>
      <c r="G537" s="83" t="s">
        <v>885</v>
      </c>
      <c r="H537" s="83" t="s">
        <v>1360</v>
      </c>
      <c r="I537" s="85">
        <f>Planejamento2024[[#This Row],[Qnt de Itens]]*Planejamento2024[[#This Row],[Valor unitário]]</f>
        <v>11715</v>
      </c>
      <c r="J537" s="83" t="s">
        <v>20</v>
      </c>
      <c r="K537" s="83" t="s">
        <v>478</v>
      </c>
      <c r="L537" s="86">
        <v>45292</v>
      </c>
      <c r="M537" s="83" t="s">
        <v>20</v>
      </c>
      <c r="N537" s="87" t="s">
        <v>1361</v>
      </c>
      <c r="O537" s="83" t="s">
        <v>827</v>
      </c>
    </row>
    <row r="538" spans="1:15" ht="27">
      <c r="A538" s="81">
        <f t="shared" si="8"/>
        <v>537</v>
      </c>
      <c r="B538" s="82" t="s">
        <v>1389</v>
      </c>
      <c r="C538" s="83" t="s">
        <v>34</v>
      </c>
      <c r="D538" s="83" t="s">
        <v>35</v>
      </c>
      <c r="E538" s="84">
        <v>100</v>
      </c>
      <c r="F538" s="85">
        <v>45.63</v>
      </c>
      <c r="G538" s="83" t="s">
        <v>255</v>
      </c>
      <c r="H538" s="83" t="s">
        <v>1360</v>
      </c>
      <c r="I538" s="85">
        <f>Planejamento2024[[#This Row],[Qnt de Itens]]*Planejamento2024[[#This Row],[Valor unitário]]</f>
        <v>4563</v>
      </c>
      <c r="J538" s="83" t="s">
        <v>20</v>
      </c>
      <c r="K538" s="83" t="s">
        <v>478</v>
      </c>
      <c r="L538" s="86">
        <v>45292</v>
      </c>
      <c r="M538" s="83" t="s">
        <v>20</v>
      </c>
      <c r="N538" s="87" t="s">
        <v>1361</v>
      </c>
      <c r="O538" s="83" t="s">
        <v>827</v>
      </c>
    </row>
    <row r="539" spans="1:15" ht="27">
      <c r="A539" s="81">
        <f t="shared" si="8"/>
        <v>538</v>
      </c>
      <c r="B539" s="82" t="s">
        <v>1390</v>
      </c>
      <c r="C539" s="83" t="s">
        <v>34</v>
      </c>
      <c r="D539" s="83" t="s">
        <v>35</v>
      </c>
      <c r="E539" s="84">
        <v>100</v>
      </c>
      <c r="F539" s="85">
        <v>52.37</v>
      </c>
      <c r="G539" s="83" t="s">
        <v>255</v>
      </c>
      <c r="H539" s="83" t="s">
        <v>1360</v>
      </c>
      <c r="I539" s="85">
        <f>Planejamento2024[[#This Row],[Qnt de Itens]]*Planejamento2024[[#This Row],[Valor unitário]]</f>
        <v>5237</v>
      </c>
      <c r="J539" s="83" t="s">
        <v>20</v>
      </c>
      <c r="K539" s="83" t="s">
        <v>478</v>
      </c>
      <c r="L539" s="86">
        <v>45292</v>
      </c>
      <c r="M539" s="83" t="s">
        <v>20</v>
      </c>
      <c r="N539" s="87" t="s">
        <v>1361</v>
      </c>
      <c r="O539" s="83" t="s">
        <v>827</v>
      </c>
    </row>
    <row r="540" spans="1:15" ht="54">
      <c r="A540" s="81">
        <f t="shared" si="8"/>
        <v>539</v>
      </c>
      <c r="B540" s="82" t="s">
        <v>1391</v>
      </c>
      <c r="C540" s="83" t="s">
        <v>34</v>
      </c>
      <c r="D540" s="83" t="s">
        <v>35</v>
      </c>
      <c r="E540" s="84">
        <v>100</v>
      </c>
      <c r="F540" s="85">
        <v>40.86</v>
      </c>
      <c r="G540" s="83" t="s">
        <v>255</v>
      </c>
      <c r="H540" s="83" t="s">
        <v>1360</v>
      </c>
      <c r="I540" s="85">
        <f>Planejamento2024[[#This Row],[Qnt de Itens]]*Planejamento2024[[#This Row],[Valor unitário]]</f>
        <v>4086</v>
      </c>
      <c r="J540" s="83" t="s">
        <v>20</v>
      </c>
      <c r="K540" s="83" t="s">
        <v>478</v>
      </c>
      <c r="L540" s="86">
        <v>45292</v>
      </c>
      <c r="M540" s="83" t="s">
        <v>20</v>
      </c>
      <c r="N540" s="87" t="s">
        <v>1361</v>
      </c>
      <c r="O540" s="83" t="s">
        <v>827</v>
      </c>
    </row>
    <row r="541" spans="1:15" ht="45">
      <c r="A541" s="81">
        <f t="shared" si="8"/>
        <v>540</v>
      </c>
      <c r="B541" s="82" t="s">
        <v>1392</v>
      </c>
      <c r="C541" s="83" t="s">
        <v>34</v>
      </c>
      <c r="D541" s="83" t="s">
        <v>35</v>
      </c>
      <c r="E541" s="84">
        <v>100</v>
      </c>
      <c r="F541" s="85">
        <v>32.51</v>
      </c>
      <c r="G541" s="83" t="s">
        <v>885</v>
      </c>
      <c r="H541" s="83" t="s">
        <v>1360</v>
      </c>
      <c r="I541" s="85">
        <f>Planejamento2024[[#This Row],[Qnt de Itens]]*Planejamento2024[[#This Row],[Valor unitário]]</f>
        <v>3251</v>
      </c>
      <c r="J541" s="83" t="s">
        <v>20</v>
      </c>
      <c r="K541" s="83" t="s">
        <v>478</v>
      </c>
      <c r="L541" s="86">
        <v>45292</v>
      </c>
      <c r="M541" s="83" t="s">
        <v>20</v>
      </c>
      <c r="N541" s="87" t="s">
        <v>1361</v>
      </c>
      <c r="O541" s="83" t="s">
        <v>827</v>
      </c>
    </row>
    <row r="542" spans="1:15" ht="45">
      <c r="A542" s="81">
        <f t="shared" si="8"/>
        <v>541</v>
      </c>
      <c r="B542" s="82" t="s">
        <v>1393</v>
      </c>
      <c r="C542" s="83" t="s">
        <v>34</v>
      </c>
      <c r="D542" s="83" t="s">
        <v>35</v>
      </c>
      <c r="E542" s="84">
        <v>100</v>
      </c>
      <c r="F542" s="85">
        <v>39.17</v>
      </c>
      <c r="G542" s="83" t="s">
        <v>255</v>
      </c>
      <c r="H542" s="83" t="s">
        <v>1360</v>
      </c>
      <c r="I542" s="85">
        <f>Planejamento2024[[#This Row],[Qnt de Itens]]*Planejamento2024[[#This Row],[Valor unitário]]</f>
        <v>3917</v>
      </c>
      <c r="J542" s="83" t="s">
        <v>20</v>
      </c>
      <c r="K542" s="83" t="s">
        <v>478</v>
      </c>
      <c r="L542" s="86">
        <v>45292</v>
      </c>
      <c r="M542" s="83" t="s">
        <v>20</v>
      </c>
      <c r="N542" s="87" t="s">
        <v>1361</v>
      </c>
      <c r="O542" s="83" t="s">
        <v>827</v>
      </c>
    </row>
    <row r="543" spans="1:15" ht="27">
      <c r="A543" s="81">
        <f t="shared" si="8"/>
        <v>542</v>
      </c>
      <c r="B543" s="82" t="s">
        <v>1394</v>
      </c>
      <c r="C543" s="83" t="s">
        <v>34</v>
      </c>
      <c r="D543" s="83" t="s">
        <v>35</v>
      </c>
      <c r="E543" s="84">
        <v>100</v>
      </c>
      <c r="F543" s="85">
        <v>99.19</v>
      </c>
      <c r="G543" s="83" t="s">
        <v>885</v>
      </c>
      <c r="H543" s="83" t="s">
        <v>1360</v>
      </c>
      <c r="I543" s="85">
        <f>Planejamento2024[[#This Row],[Qnt de Itens]]*Planejamento2024[[#This Row],[Valor unitário]]</f>
        <v>9919</v>
      </c>
      <c r="J543" s="83" t="s">
        <v>20</v>
      </c>
      <c r="K543" s="83" t="s">
        <v>478</v>
      </c>
      <c r="L543" s="86">
        <v>45292</v>
      </c>
      <c r="M543" s="83" t="s">
        <v>20</v>
      </c>
      <c r="N543" s="87" t="s">
        <v>1361</v>
      </c>
      <c r="O543" s="83" t="s">
        <v>827</v>
      </c>
    </row>
    <row r="544" spans="1:15" ht="54">
      <c r="A544" s="81">
        <f t="shared" si="8"/>
        <v>543</v>
      </c>
      <c r="B544" s="82" t="s">
        <v>1395</v>
      </c>
      <c r="C544" s="83" t="s">
        <v>34</v>
      </c>
      <c r="D544" s="83" t="s">
        <v>35</v>
      </c>
      <c r="E544" s="84">
        <v>150</v>
      </c>
      <c r="F544" s="85">
        <v>101.64</v>
      </c>
      <c r="G544" s="83" t="s">
        <v>885</v>
      </c>
      <c r="H544" s="83" t="s">
        <v>1360</v>
      </c>
      <c r="I544" s="85">
        <f>Planejamento2024[[#This Row],[Qnt de Itens]]*Planejamento2024[[#This Row],[Valor unitário]]</f>
        <v>15246</v>
      </c>
      <c r="J544" s="83" t="s">
        <v>20</v>
      </c>
      <c r="K544" s="83" t="s">
        <v>478</v>
      </c>
      <c r="L544" s="86">
        <v>45292</v>
      </c>
      <c r="M544" s="83" t="s">
        <v>20</v>
      </c>
      <c r="N544" s="87" t="s">
        <v>1361</v>
      </c>
      <c r="O544" s="83" t="s">
        <v>827</v>
      </c>
    </row>
    <row r="545" spans="1:15" ht="18">
      <c r="A545" s="81">
        <f t="shared" si="8"/>
        <v>544</v>
      </c>
      <c r="B545" s="82" t="s">
        <v>1396</v>
      </c>
      <c r="C545" s="83" t="s">
        <v>34</v>
      </c>
      <c r="D545" s="83" t="s">
        <v>35</v>
      </c>
      <c r="E545" s="84">
        <v>200</v>
      </c>
      <c r="F545" s="85">
        <v>1.1399999999999999</v>
      </c>
      <c r="G545" s="83" t="s">
        <v>885</v>
      </c>
      <c r="H545" s="83" t="s">
        <v>1360</v>
      </c>
      <c r="I545" s="85">
        <f>Planejamento2024[[#This Row],[Qnt de Itens]]*Planejamento2024[[#This Row],[Valor unitário]]</f>
        <v>227.99999999999997</v>
      </c>
      <c r="J545" s="83" t="s">
        <v>20</v>
      </c>
      <c r="K545" s="83" t="s">
        <v>478</v>
      </c>
      <c r="L545" s="86">
        <v>45292</v>
      </c>
      <c r="M545" s="83" t="s">
        <v>20</v>
      </c>
      <c r="N545" s="87" t="s">
        <v>1361</v>
      </c>
      <c r="O545" s="83" t="s">
        <v>827</v>
      </c>
    </row>
    <row r="546" spans="1:15" ht="27">
      <c r="A546" s="81">
        <f t="shared" si="8"/>
        <v>545</v>
      </c>
      <c r="B546" s="82" t="s">
        <v>1397</v>
      </c>
      <c r="C546" s="83" t="s">
        <v>34</v>
      </c>
      <c r="D546" s="83" t="s">
        <v>35</v>
      </c>
      <c r="E546" s="84">
        <v>100</v>
      </c>
      <c r="F546" s="85">
        <v>0.73</v>
      </c>
      <c r="G546" s="83" t="s">
        <v>885</v>
      </c>
      <c r="H546" s="83" t="s">
        <v>1360</v>
      </c>
      <c r="I546" s="85">
        <f>Planejamento2024[[#This Row],[Qnt de Itens]]*Planejamento2024[[#This Row],[Valor unitário]]</f>
        <v>73</v>
      </c>
      <c r="J546" s="83" t="s">
        <v>20</v>
      </c>
      <c r="K546" s="83" t="s">
        <v>478</v>
      </c>
      <c r="L546" s="86">
        <v>45292</v>
      </c>
      <c r="M546" s="83" t="s">
        <v>20</v>
      </c>
      <c r="N546" s="87" t="s">
        <v>1361</v>
      </c>
      <c r="O546" s="83" t="s">
        <v>827</v>
      </c>
    </row>
    <row r="547" spans="1:15" ht="18">
      <c r="A547" s="81">
        <f t="shared" si="8"/>
        <v>546</v>
      </c>
      <c r="B547" s="82" t="s">
        <v>1398</v>
      </c>
      <c r="C547" s="83" t="s">
        <v>34</v>
      </c>
      <c r="D547" s="83" t="s">
        <v>35</v>
      </c>
      <c r="E547" s="84">
        <v>100</v>
      </c>
      <c r="F547" s="85">
        <v>1.97</v>
      </c>
      <c r="G547" s="83" t="s">
        <v>885</v>
      </c>
      <c r="H547" s="83" t="s">
        <v>1360</v>
      </c>
      <c r="I547" s="85">
        <f>Planejamento2024[[#This Row],[Qnt de Itens]]*Planejamento2024[[#This Row],[Valor unitário]]</f>
        <v>197</v>
      </c>
      <c r="J547" s="83" t="s">
        <v>20</v>
      </c>
      <c r="K547" s="83" t="s">
        <v>478</v>
      </c>
      <c r="L547" s="86">
        <v>45292</v>
      </c>
      <c r="M547" s="83" t="s">
        <v>20</v>
      </c>
      <c r="N547" s="87" t="s">
        <v>1361</v>
      </c>
      <c r="O547" s="83" t="s">
        <v>827</v>
      </c>
    </row>
    <row r="548" spans="1:15" ht="126">
      <c r="A548" s="81">
        <f t="shared" si="8"/>
        <v>547</v>
      </c>
      <c r="B548" s="82" t="s">
        <v>1399</v>
      </c>
      <c r="C548" s="83" t="s">
        <v>34</v>
      </c>
      <c r="D548" s="83" t="s">
        <v>35</v>
      </c>
      <c r="E548" s="84">
        <v>500</v>
      </c>
      <c r="F548" s="85">
        <v>96.96</v>
      </c>
      <c r="G548" s="83" t="s">
        <v>885</v>
      </c>
      <c r="H548" s="83" t="s">
        <v>1360</v>
      </c>
      <c r="I548" s="85">
        <f>Planejamento2024[[#This Row],[Qnt de Itens]]*Planejamento2024[[#This Row],[Valor unitário]]</f>
        <v>48480</v>
      </c>
      <c r="J548" s="83" t="s">
        <v>20</v>
      </c>
      <c r="K548" s="83" t="s">
        <v>478</v>
      </c>
      <c r="L548" s="86">
        <v>45292</v>
      </c>
      <c r="M548" s="83" t="s">
        <v>20</v>
      </c>
      <c r="N548" s="87" t="s">
        <v>1361</v>
      </c>
      <c r="O548" s="83" t="s">
        <v>827</v>
      </c>
    </row>
    <row r="549" spans="1:15" ht="27">
      <c r="A549" s="81">
        <f t="shared" si="8"/>
        <v>548</v>
      </c>
      <c r="B549" s="82" t="s">
        <v>1400</v>
      </c>
      <c r="C549" s="83" t="s">
        <v>34</v>
      </c>
      <c r="D549" s="83" t="s">
        <v>35</v>
      </c>
      <c r="E549" s="84">
        <v>100</v>
      </c>
      <c r="F549" s="85">
        <v>23.46</v>
      </c>
      <c r="G549" s="83" t="s">
        <v>885</v>
      </c>
      <c r="H549" s="83" t="s">
        <v>1360</v>
      </c>
      <c r="I549" s="85">
        <f>Planejamento2024[[#This Row],[Qnt de Itens]]*Planejamento2024[[#This Row],[Valor unitário]]</f>
        <v>2346</v>
      </c>
      <c r="J549" s="83" t="s">
        <v>20</v>
      </c>
      <c r="K549" s="83" t="s">
        <v>478</v>
      </c>
      <c r="L549" s="86">
        <v>45292</v>
      </c>
      <c r="M549" s="83" t="s">
        <v>20</v>
      </c>
      <c r="N549" s="87" t="s">
        <v>1361</v>
      </c>
      <c r="O549" s="83" t="s">
        <v>827</v>
      </c>
    </row>
    <row r="550" spans="1:15" ht="36">
      <c r="A550" s="81">
        <f t="shared" si="8"/>
        <v>549</v>
      </c>
      <c r="B550" s="82" t="s">
        <v>1401</v>
      </c>
      <c r="C550" s="83" t="s">
        <v>34</v>
      </c>
      <c r="D550" s="83" t="s">
        <v>35</v>
      </c>
      <c r="E550" s="84">
        <v>100</v>
      </c>
      <c r="F550" s="85">
        <v>37.25</v>
      </c>
      <c r="G550" s="83" t="s">
        <v>885</v>
      </c>
      <c r="H550" s="83" t="s">
        <v>1360</v>
      </c>
      <c r="I550" s="85">
        <f>Planejamento2024[[#This Row],[Qnt de Itens]]*Planejamento2024[[#This Row],[Valor unitário]]</f>
        <v>3725</v>
      </c>
      <c r="J550" s="83" t="s">
        <v>20</v>
      </c>
      <c r="K550" s="83" t="s">
        <v>478</v>
      </c>
      <c r="L550" s="86">
        <v>45292</v>
      </c>
      <c r="M550" s="83" t="s">
        <v>20</v>
      </c>
      <c r="N550" s="87" t="s">
        <v>1361</v>
      </c>
      <c r="O550" s="83" t="s">
        <v>827</v>
      </c>
    </row>
    <row r="551" spans="1:15" ht="18">
      <c r="A551" s="81">
        <f t="shared" si="8"/>
        <v>550</v>
      </c>
      <c r="B551" s="82" t="s">
        <v>1402</v>
      </c>
      <c r="C551" s="83" t="s">
        <v>34</v>
      </c>
      <c r="D551" s="83" t="s">
        <v>35</v>
      </c>
      <c r="E551" s="84">
        <v>100</v>
      </c>
      <c r="F551" s="85">
        <v>34.200000000000003</v>
      </c>
      <c r="G551" s="83" t="s">
        <v>885</v>
      </c>
      <c r="H551" s="83" t="s">
        <v>1360</v>
      </c>
      <c r="I551" s="85">
        <f>Planejamento2024[[#This Row],[Qnt de Itens]]*Planejamento2024[[#This Row],[Valor unitário]]</f>
        <v>3420.0000000000005</v>
      </c>
      <c r="J551" s="83" t="s">
        <v>20</v>
      </c>
      <c r="K551" s="83" t="s">
        <v>478</v>
      </c>
      <c r="L551" s="86">
        <v>45292</v>
      </c>
      <c r="M551" s="83" t="s">
        <v>20</v>
      </c>
      <c r="N551" s="87" t="s">
        <v>1361</v>
      </c>
      <c r="O551" s="83" t="s">
        <v>827</v>
      </c>
    </row>
    <row r="552" spans="1:15" ht="18">
      <c r="A552" s="81">
        <f t="shared" si="8"/>
        <v>551</v>
      </c>
      <c r="B552" s="82" t="s">
        <v>1403</v>
      </c>
      <c r="C552" s="83" t="s">
        <v>34</v>
      </c>
      <c r="D552" s="83" t="s">
        <v>35</v>
      </c>
      <c r="E552" s="84">
        <v>50</v>
      </c>
      <c r="F552" s="85">
        <v>70.72</v>
      </c>
      <c r="G552" s="83" t="s">
        <v>885</v>
      </c>
      <c r="H552" s="83" t="s">
        <v>1360</v>
      </c>
      <c r="I552" s="85">
        <f>Planejamento2024[[#This Row],[Qnt de Itens]]*Planejamento2024[[#This Row],[Valor unitário]]</f>
        <v>3536</v>
      </c>
      <c r="J552" s="83" t="s">
        <v>20</v>
      </c>
      <c r="K552" s="83" t="s">
        <v>478</v>
      </c>
      <c r="L552" s="86">
        <v>45292</v>
      </c>
      <c r="M552" s="83" t="s">
        <v>20</v>
      </c>
      <c r="N552" s="87" t="s">
        <v>1361</v>
      </c>
      <c r="O552" s="83" t="s">
        <v>827</v>
      </c>
    </row>
    <row r="553" spans="1:15" ht="18">
      <c r="A553" s="81">
        <f t="shared" si="8"/>
        <v>552</v>
      </c>
      <c r="B553" s="82" t="s">
        <v>1404</v>
      </c>
      <c r="C553" s="83" t="s">
        <v>34</v>
      </c>
      <c r="D553" s="83" t="s">
        <v>35</v>
      </c>
      <c r="E553" s="84">
        <v>50</v>
      </c>
      <c r="F553" s="85">
        <v>21.17</v>
      </c>
      <c r="G553" s="83" t="s">
        <v>885</v>
      </c>
      <c r="H553" s="83" t="s">
        <v>1360</v>
      </c>
      <c r="I553" s="85">
        <f>Planejamento2024[[#This Row],[Qnt de Itens]]*Planejamento2024[[#This Row],[Valor unitário]]</f>
        <v>1058.5</v>
      </c>
      <c r="J553" s="83" t="s">
        <v>20</v>
      </c>
      <c r="K553" s="83" t="s">
        <v>478</v>
      </c>
      <c r="L553" s="86">
        <v>45292</v>
      </c>
      <c r="M553" s="83" t="s">
        <v>20</v>
      </c>
      <c r="N553" s="87" t="s">
        <v>1361</v>
      </c>
      <c r="O553" s="83" t="s">
        <v>827</v>
      </c>
    </row>
    <row r="554" spans="1:15" ht="36">
      <c r="A554" s="81">
        <f t="shared" si="8"/>
        <v>553</v>
      </c>
      <c r="B554" s="82" t="s">
        <v>1405</v>
      </c>
      <c r="C554" s="83" t="s">
        <v>34</v>
      </c>
      <c r="D554" s="83" t="s">
        <v>35</v>
      </c>
      <c r="E554" s="84">
        <v>200</v>
      </c>
      <c r="F554" s="85">
        <v>601.53</v>
      </c>
      <c r="G554" s="83" t="s">
        <v>885</v>
      </c>
      <c r="H554" s="83" t="s">
        <v>1360</v>
      </c>
      <c r="I554" s="85">
        <f>Planejamento2024[[#This Row],[Qnt de Itens]]*Planejamento2024[[#This Row],[Valor unitário]]</f>
        <v>120306</v>
      </c>
      <c r="J554" s="83" t="s">
        <v>20</v>
      </c>
      <c r="K554" s="83" t="s">
        <v>478</v>
      </c>
      <c r="L554" s="86">
        <v>45292</v>
      </c>
      <c r="M554" s="83" t="s">
        <v>20</v>
      </c>
      <c r="N554" s="87" t="s">
        <v>1361</v>
      </c>
      <c r="O554" s="83" t="s">
        <v>827</v>
      </c>
    </row>
    <row r="555" spans="1:15" ht="36">
      <c r="A555" s="81">
        <f t="shared" si="8"/>
        <v>554</v>
      </c>
      <c r="B555" s="82" t="s">
        <v>1406</v>
      </c>
      <c r="C555" s="83" t="s">
        <v>34</v>
      </c>
      <c r="D555" s="83" t="s">
        <v>35</v>
      </c>
      <c r="E555" s="84">
        <v>200</v>
      </c>
      <c r="F555" s="85">
        <v>787.57</v>
      </c>
      <c r="G555" s="83" t="s">
        <v>885</v>
      </c>
      <c r="H555" s="83" t="s">
        <v>1360</v>
      </c>
      <c r="I555" s="85">
        <f>Planejamento2024[[#This Row],[Qnt de Itens]]*Planejamento2024[[#This Row],[Valor unitário]]</f>
        <v>157514</v>
      </c>
      <c r="J555" s="83" t="s">
        <v>20</v>
      </c>
      <c r="K555" s="83" t="s">
        <v>478</v>
      </c>
      <c r="L555" s="86">
        <v>45292</v>
      </c>
      <c r="M555" s="83" t="s">
        <v>20</v>
      </c>
      <c r="N555" s="87" t="s">
        <v>1361</v>
      </c>
      <c r="O555" s="83" t="s">
        <v>827</v>
      </c>
    </row>
    <row r="556" spans="1:15" ht="18">
      <c r="A556" s="81">
        <f t="shared" si="8"/>
        <v>555</v>
      </c>
      <c r="B556" s="82" t="s">
        <v>1407</v>
      </c>
      <c r="C556" s="83" t="s">
        <v>34</v>
      </c>
      <c r="D556" s="83" t="s">
        <v>35</v>
      </c>
      <c r="E556" s="84">
        <v>100</v>
      </c>
      <c r="F556" s="85">
        <v>333.1</v>
      </c>
      <c r="G556" s="83" t="s">
        <v>885</v>
      </c>
      <c r="H556" s="83" t="s">
        <v>1360</v>
      </c>
      <c r="I556" s="85">
        <f>Planejamento2024[[#This Row],[Qnt de Itens]]*Planejamento2024[[#This Row],[Valor unitário]]</f>
        <v>33310</v>
      </c>
      <c r="J556" s="83" t="s">
        <v>20</v>
      </c>
      <c r="K556" s="83" t="s">
        <v>478</v>
      </c>
      <c r="L556" s="86">
        <v>45292</v>
      </c>
      <c r="M556" s="83" t="s">
        <v>20</v>
      </c>
      <c r="N556" s="87" t="s">
        <v>1361</v>
      </c>
      <c r="O556" s="83" t="s">
        <v>827</v>
      </c>
    </row>
    <row r="557" spans="1:15" ht="18">
      <c r="A557" s="81">
        <f t="shared" si="8"/>
        <v>556</v>
      </c>
      <c r="B557" s="82" t="s">
        <v>1408</v>
      </c>
      <c r="C557" s="83" t="s">
        <v>34</v>
      </c>
      <c r="D557" s="83" t="s">
        <v>35</v>
      </c>
      <c r="E557" s="84">
        <v>100</v>
      </c>
      <c r="F557" s="85">
        <v>376.3</v>
      </c>
      <c r="G557" s="83" t="s">
        <v>885</v>
      </c>
      <c r="H557" s="83" t="s">
        <v>1360</v>
      </c>
      <c r="I557" s="85">
        <f>Planejamento2024[[#This Row],[Qnt de Itens]]*Planejamento2024[[#This Row],[Valor unitário]]</f>
        <v>37630</v>
      </c>
      <c r="J557" s="83" t="s">
        <v>20</v>
      </c>
      <c r="K557" s="83" t="s">
        <v>478</v>
      </c>
      <c r="L557" s="86">
        <v>45292</v>
      </c>
      <c r="M557" s="83" t="s">
        <v>20</v>
      </c>
      <c r="N557" s="87" t="s">
        <v>1361</v>
      </c>
      <c r="O557" s="83" t="s">
        <v>827</v>
      </c>
    </row>
    <row r="558" spans="1:15" ht="18">
      <c r="A558" s="81">
        <f t="shared" si="8"/>
        <v>557</v>
      </c>
      <c r="B558" s="82" t="s">
        <v>1409</v>
      </c>
      <c r="C558" s="83" t="s">
        <v>34</v>
      </c>
      <c r="D558" s="83" t="s">
        <v>35</v>
      </c>
      <c r="E558" s="84">
        <v>100</v>
      </c>
      <c r="F558" s="85">
        <v>39.409999999999997</v>
      </c>
      <c r="G558" s="83" t="s">
        <v>885</v>
      </c>
      <c r="H558" s="83" t="s">
        <v>1360</v>
      </c>
      <c r="I558" s="85">
        <f>Planejamento2024[[#This Row],[Qnt de Itens]]*Planejamento2024[[#This Row],[Valor unitário]]</f>
        <v>3940.9999999999995</v>
      </c>
      <c r="J558" s="83" t="s">
        <v>20</v>
      </c>
      <c r="K558" s="83" t="s">
        <v>478</v>
      </c>
      <c r="L558" s="86">
        <v>45292</v>
      </c>
      <c r="M558" s="83" t="s">
        <v>20</v>
      </c>
      <c r="N558" s="87" t="s">
        <v>1361</v>
      </c>
      <c r="O558" s="83" t="s">
        <v>827</v>
      </c>
    </row>
    <row r="559" spans="1:15" ht="18">
      <c r="A559" s="81">
        <f t="shared" si="8"/>
        <v>558</v>
      </c>
      <c r="B559" s="82" t="s">
        <v>1410</v>
      </c>
      <c r="C559" s="83" t="s">
        <v>34</v>
      </c>
      <c r="D559" s="83" t="s">
        <v>35</v>
      </c>
      <c r="E559" s="84">
        <v>100</v>
      </c>
      <c r="F559" s="85">
        <v>31.88</v>
      </c>
      <c r="G559" s="83" t="s">
        <v>885</v>
      </c>
      <c r="H559" s="83" t="s">
        <v>1360</v>
      </c>
      <c r="I559" s="85">
        <f>Planejamento2024[[#This Row],[Qnt de Itens]]*Planejamento2024[[#This Row],[Valor unitário]]</f>
        <v>3188</v>
      </c>
      <c r="J559" s="83" t="s">
        <v>20</v>
      </c>
      <c r="K559" s="83" t="s">
        <v>478</v>
      </c>
      <c r="L559" s="86">
        <v>45292</v>
      </c>
      <c r="M559" s="83" t="s">
        <v>20</v>
      </c>
      <c r="N559" s="87" t="s">
        <v>1361</v>
      </c>
      <c r="O559" s="83" t="s">
        <v>827</v>
      </c>
    </row>
    <row r="560" spans="1:15" ht="18">
      <c r="A560" s="81">
        <f t="shared" si="8"/>
        <v>559</v>
      </c>
      <c r="B560" s="82" t="s">
        <v>1411</v>
      </c>
      <c r="C560" s="83" t="s">
        <v>34</v>
      </c>
      <c r="D560" s="83" t="s">
        <v>35</v>
      </c>
      <c r="E560" s="84">
        <v>400</v>
      </c>
      <c r="F560" s="85">
        <v>70.77</v>
      </c>
      <c r="G560" s="83" t="s">
        <v>885</v>
      </c>
      <c r="H560" s="83" t="s">
        <v>1360</v>
      </c>
      <c r="I560" s="85">
        <f>Planejamento2024[[#This Row],[Qnt de Itens]]*Planejamento2024[[#This Row],[Valor unitário]]</f>
        <v>28308</v>
      </c>
      <c r="J560" s="83" t="s">
        <v>20</v>
      </c>
      <c r="K560" s="83" t="s">
        <v>478</v>
      </c>
      <c r="L560" s="86">
        <v>45292</v>
      </c>
      <c r="M560" s="83" t="s">
        <v>20</v>
      </c>
      <c r="N560" s="87" t="s">
        <v>1361</v>
      </c>
      <c r="O560" s="83" t="s">
        <v>827</v>
      </c>
    </row>
    <row r="561" spans="1:15" ht="45">
      <c r="A561" s="81">
        <f t="shared" si="8"/>
        <v>560</v>
      </c>
      <c r="B561" s="82" t="s">
        <v>1412</v>
      </c>
      <c r="C561" s="83" t="s">
        <v>34</v>
      </c>
      <c r="D561" s="83" t="s">
        <v>35</v>
      </c>
      <c r="E561" s="84">
        <v>20</v>
      </c>
      <c r="F561" s="85">
        <v>326.14</v>
      </c>
      <c r="G561" s="83" t="s">
        <v>885</v>
      </c>
      <c r="H561" s="83" t="s">
        <v>1360</v>
      </c>
      <c r="I561" s="85">
        <f>Planejamento2024[[#This Row],[Qnt de Itens]]*Planejamento2024[[#This Row],[Valor unitário]]</f>
        <v>6522.7999999999993</v>
      </c>
      <c r="J561" s="83" t="s">
        <v>20</v>
      </c>
      <c r="K561" s="83" t="s">
        <v>478</v>
      </c>
      <c r="L561" s="86">
        <v>45292</v>
      </c>
      <c r="M561" s="83" t="s">
        <v>20</v>
      </c>
      <c r="N561" s="87" t="s">
        <v>1361</v>
      </c>
      <c r="O561" s="83" t="s">
        <v>827</v>
      </c>
    </row>
    <row r="562" spans="1:15" ht="18">
      <c r="A562" s="81">
        <f t="shared" si="8"/>
        <v>561</v>
      </c>
      <c r="B562" s="82" t="s">
        <v>1413</v>
      </c>
      <c r="C562" s="83" t="s">
        <v>34</v>
      </c>
      <c r="D562" s="83" t="s">
        <v>35</v>
      </c>
      <c r="E562" s="84">
        <v>300</v>
      </c>
      <c r="F562" s="85">
        <v>110.75</v>
      </c>
      <c r="G562" s="83" t="s">
        <v>885</v>
      </c>
      <c r="H562" s="83" t="s">
        <v>1360</v>
      </c>
      <c r="I562" s="85">
        <f>Planejamento2024[[#This Row],[Qnt de Itens]]*Planejamento2024[[#This Row],[Valor unitário]]</f>
        <v>33225</v>
      </c>
      <c r="J562" s="83" t="s">
        <v>20</v>
      </c>
      <c r="K562" s="83" t="s">
        <v>478</v>
      </c>
      <c r="L562" s="86">
        <v>45292</v>
      </c>
      <c r="M562" s="83" t="s">
        <v>20</v>
      </c>
      <c r="N562" s="87" t="s">
        <v>1361</v>
      </c>
      <c r="O562" s="83" t="s">
        <v>827</v>
      </c>
    </row>
    <row r="563" spans="1:15" ht="18">
      <c r="A563" s="81">
        <f t="shared" si="8"/>
        <v>562</v>
      </c>
      <c r="B563" s="82" t="s">
        <v>1414</v>
      </c>
      <c r="C563" s="83" t="s">
        <v>34</v>
      </c>
      <c r="D563" s="83" t="s">
        <v>35</v>
      </c>
      <c r="E563" s="84">
        <v>300</v>
      </c>
      <c r="F563" s="85">
        <v>24.07</v>
      </c>
      <c r="G563" s="83" t="s">
        <v>885</v>
      </c>
      <c r="H563" s="83" t="s">
        <v>1360</v>
      </c>
      <c r="I563" s="85">
        <f>Planejamento2024[[#This Row],[Qnt de Itens]]*Planejamento2024[[#This Row],[Valor unitário]]</f>
        <v>7221</v>
      </c>
      <c r="J563" s="83" t="s">
        <v>20</v>
      </c>
      <c r="K563" s="83" t="s">
        <v>478</v>
      </c>
      <c r="L563" s="86">
        <v>45292</v>
      </c>
      <c r="M563" s="83" t="s">
        <v>20</v>
      </c>
      <c r="N563" s="87" t="s">
        <v>1361</v>
      </c>
      <c r="O563" s="83" t="s">
        <v>827</v>
      </c>
    </row>
    <row r="564" spans="1:15" ht="18">
      <c r="A564" s="81">
        <f t="shared" si="8"/>
        <v>563</v>
      </c>
      <c r="B564" s="82" t="s">
        <v>1415</v>
      </c>
      <c r="C564" s="83" t="s">
        <v>34</v>
      </c>
      <c r="D564" s="83" t="s">
        <v>35</v>
      </c>
      <c r="E564" s="84">
        <v>100</v>
      </c>
      <c r="F564" s="85">
        <v>59.8</v>
      </c>
      <c r="G564" s="83" t="s">
        <v>885</v>
      </c>
      <c r="H564" s="83" t="s">
        <v>1360</v>
      </c>
      <c r="I564" s="85">
        <f>Planejamento2024[[#This Row],[Qnt de Itens]]*Planejamento2024[[#This Row],[Valor unitário]]</f>
        <v>5980</v>
      </c>
      <c r="J564" s="83" t="s">
        <v>20</v>
      </c>
      <c r="K564" s="83" t="s">
        <v>478</v>
      </c>
      <c r="L564" s="86">
        <v>45292</v>
      </c>
      <c r="M564" s="83" t="s">
        <v>20</v>
      </c>
      <c r="N564" s="87" t="s">
        <v>1361</v>
      </c>
      <c r="O564" s="83" t="s">
        <v>827</v>
      </c>
    </row>
    <row r="565" spans="1:15" ht="18">
      <c r="A565" s="81">
        <f t="shared" si="8"/>
        <v>564</v>
      </c>
      <c r="B565" s="82" t="s">
        <v>1416</v>
      </c>
      <c r="C565" s="83" t="s">
        <v>34</v>
      </c>
      <c r="D565" s="83" t="s">
        <v>35</v>
      </c>
      <c r="E565" s="84">
        <v>100</v>
      </c>
      <c r="F565" s="85">
        <v>19.32</v>
      </c>
      <c r="G565" s="83" t="s">
        <v>885</v>
      </c>
      <c r="H565" s="83" t="s">
        <v>1360</v>
      </c>
      <c r="I565" s="85">
        <f>Planejamento2024[[#This Row],[Qnt de Itens]]*Planejamento2024[[#This Row],[Valor unitário]]</f>
        <v>1932</v>
      </c>
      <c r="J565" s="83" t="s">
        <v>20</v>
      </c>
      <c r="K565" s="83" t="s">
        <v>478</v>
      </c>
      <c r="L565" s="86">
        <v>45292</v>
      </c>
      <c r="M565" s="83" t="s">
        <v>20</v>
      </c>
      <c r="N565" s="87" t="s">
        <v>1361</v>
      </c>
      <c r="O565" s="83" t="s">
        <v>827</v>
      </c>
    </row>
    <row r="566" spans="1:15" ht="18">
      <c r="A566" s="81">
        <f t="shared" si="8"/>
        <v>565</v>
      </c>
      <c r="B566" s="82" t="s">
        <v>1417</v>
      </c>
      <c r="C566" s="83" t="s">
        <v>34</v>
      </c>
      <c r="D566" s="83" t="s">
        <v>35</v>
      </c>
      <c r="E566" s="84">
        <v>100</v>
      </c>
      <c r="F566" s="85">
        <v>14.95</v>
      </c>
      <c r="G566" s="83" t="s">
        <v>885</v>
      </c>
      <c r="H566" s="83" t="s">
        <v>1360</v>
      </c>
      <c r="I566" s="85">
        <f>Planejamento2024[[#This Row],[Qnt de Itens]]*Planejamento2024[[#This Row],[Valor unitário]]</f>
        <v>1495</v>
      </c>
      <c r="J566" s="83" t="s">
        <v>20</v>
      </c>
      <c r="K566" s="83" t="s">
        <v>478</v>
      </c>
      <c r="L566" s="86">
        <v>45292</v>
      </c>
      <c r="M566" s="83" t="s">
        <v>20</v>
      </c>
      <c r="N566" s="87" t="s">
        <v>1361</v>
      </c>
      <c r="O566" s="83" t="s">
        <v>827</v>
      </c>
    </row>
    <row r="567" spans="1:15" ht="18">
      <c r="A567" s="81">
        <f t="shared" si="8"/>
        <v>566</v>
      </c>
      <c r="B567" s="82" t="s">
        <v>1418</v>
      </c>
      <c r="C567" s="83" t="s">
        <v>34</v>
      </c>
      <c r="D567" s="83" t="s">
        <v>35</v>
      </c>
      <c r="E567" s="84">
        <v>100</v>
      </c>
      <c r="F567" s="85">
        <v>15.19</v>
      </c>
      <c r="G567" s="83" t="s">
        <v>885</v>
      </c>
      <c r="H567" s="83" t="s">
        <v>1360</v>
      </c>
      <c r="I567" s="85">
        <f>Planejamento2024[[#This Row],[Qnt de Itens]]*Planejamento2024[[#This Row],[Valor unitário]]</f>
        <v>1519</v>
      </c>
      <c r="J567" s="83" t="s">
        <v>20</v>
      </c>
      <c r="K567" s="83" t="s">
        <v>478</v>
      </c>
      <c r="L567" s="86">
        <v>45292</v>
      </c>
      <c r="M567" s="83" t="s">
        <v>20</v>
      </c>
      <c r="N567" s="87" t="s">
        <v>1361</v>
      </c>
      <c r="O567" s="83" t="s">
        <v>827</v>
      </c>
    </row>
    <row r="568" spans="1:15" ht="27">
      <c r="A568" s="81">
        <f t="shared" si="8"/>
        <v>567</v>
      </c>
      <c r="B568" s="82" t="s">
        <v>1419</v>
      </c>
      <c r="C568" s="83" t="s">
        <v>34</v>
      </c>
      <c r="D568" s="83" t="s">
        <v>35</v>
      </c>
      <c r="E568" s="84">
        <v>100</v>
      </c>
      <c r="F568" s="85">
        <v>37.06</v>
      </c>
      <c r="G568" s="83" t="s">
        <v>885</v>
      </c>
      <c r="H568" s="83" t="s">
        <v>1360</v>
      </c>
      <c r="I568" s="85">
        <f>Planejamento2024[[#This Row],[Qnt de Itens]]*Planejamento2024[[#This Row],[Valor unitário]]</f>
        <v>3706</v>
      </c>
      <c r="J568" s="83" t="s">
        <v>20</v>
      </c>
      <c r="K568" s="83" t="s">
        <v>478</v>
      </c>
      <c r="L568" s="86">
        <v>45292</v>
      </c>
      <c r="M568" s="83" t="s">
        <v>20</v>
      </c>
      <c r="N568" s="87" t="s">
        <v>1361</v>
      </c>
      <c r="O568" s="83" t="s">
        <v>827</v>
      </c>
    </row>
    <row r="569" spans="1:15" ht="27">
      <c r="A569" s="81">
        <f t="shared" si="8"/>
        <v>568</v>
      </c>
      <c r="B569" s="82" t="s">
        <v>1420</v>
      </c>
      <c r="C569" s="83" t="s">
        <v>34</v>
      </c>
      <c r="D569" s="83" t="s">
        <v>35</v>
      </c>
      <c r="E569" s="84">
        <v>100</v>
      </c>
      <c r="F569" s="85">
        <v>44.6</v>
      </c>
      <c r="G569" s="83" t="s">
        <v>885</v>
      </c>
      <c r="H569" s="83" t="s">
        <v>1360</v>
      </c>
      <c r="I569" s="85">
        <f>Planejamento2024[[#This Row],[Qnt de Itens]]*Planejamento2024[[#This Row],[Valor unitário]]</f>
        <v>4460</v>
      </c>
      <c r="J569" s="83" t="s">
        <v>20</v>
      </c>
      <c r="K569" s="83" t="s">
        <v>478</v>
      </c>
      <c r="L569" s="86">
        <v>45292</v>
      </c>
      <c r="M569" s="83" t="s">
        <v>20</v>
      </c>
      <c r="N569" s="87" t="s">
        <v>1361</v>
      </c>
      <c r="O569" s="83" t="s">
        <v>827</v>
      </c>
    </row>
    <row r="570" spans="1:15" ht="27">
      <c r="A570" s="81">
        <f t="shared" si="8"/>
        <v>569</v>
      </c>
      <c r="B570" s="82" t="s">
        <v>1421</v>
      </c>
      <c r="C570" s="83" t="s">
        <v>34</v>
      </c>
      <c r="D570" s="83" t="s">
        <v>35</v>
      </c>
      <c r="E570" s="84">
        <v>100</v>
      </c>
      <c r="F570" s="85">
        <v>117.8</v>
      </c>
      <c r="G570" s="83" t="s">
        <v>885</v>
      </c>
      <c r="H570" s="83" t="s">
        <v>1360</v>
      </c>
      <c r="I570" s="85">
        <f>Planejamento2024[[#This Row],[Qnt de Itens]]*Planejamento2024[[#This Row],[Valor unitário]]</f>
        <v>11780</v>
      </c>
      <c r="J570" s="83" t="s">
        <v>20</v>
      </c>
      <c r="K570" s="83" t="s">
        <v>478</v>
      </c>
      <c r="L570" s="86">
        <v>45292</v>
      </c>
      <c r="M570" s="83" t="s">
        <v>20</v>
      </c>
      <c r="N570" s="87" t="s">
        <v>1361</v>
      </c>
      <c r="O570" s="83" t="s">
        <v>827</v>
      </c>
    </row>
    <row r="571" spans="1:15" ht="27">
      <c r="A571" s="81">
        <f t="shared" si="8"/>
        <v>570</v>
      </c>
      <c r="B571" s="82" t="s">
        <v>1422</v>
      </c>
      <c r="C571" s="83" t="s">
        <v>34</v>
      </c>
      <c r="D571" s="83" t="s">
        <v>35</v>
      </c>
      <c r="E571" s="84">
        <v>100</v>
      </c>
      <c r="F571" s="85">
        <v>16.5</v>
      </c>
      <c r="G571" s="83" t="s">
        <v>885</v>
      </c>
      <c r="H571" s="83" t="s">
        <v>1360</v>
      </c>
      <c r="I571" s="85">
        <f>Planejamento2024[[#This Row],[Qnt de Itens]]*Planejamento2024[[#This Row],[Valor unitário]]</f>
        <v>1650</v>
      </c>
      <c r="J571" s="83" t="s">
        <v>20</v>
      </c>
      <c r="K571" s="83" t="s">
        <v>478</v>
      </c>
      <c r="L571" s="86">
        <v>45292</v>
      </c>
      <c r="M571" s="83" t="s">
        <v>20</v>
      </c>
      <c r="N571" s="87" t="s">
        <v>1361</v>
      </c>
      <c r="O571" s="83" t="s">
        <v>827</v>
      </c>
    </row>
    <row r="572" spans="1:15" ht="27">
      <c r="A572" s="81">
        <f t="shared" si="8"/>
        <v>571</v>
      </c>
      <c r="B572" s="82" t="s">
        <v>1423</v>
      </c>
      <c r="C572" s="83" t="s">
        <v>34</v>
      </c>
      <c r="D572" s="83" t="s">
        <v>35</v>
      </c>
      <c r="E572" s="84">
        <v>100</v>
      </c>
      <c r="F572" s="85">
        <v>21.07</v>
      </c>
      <c r="G572" s="83" t="s">
        <v>885</v>
      </c>
      <c r="H572" s="83" t="s">
        <v>1360</v>
      </c>
      <c r="I572" s="85">
        <f>Planejamento2024[[#This Row],[Qnt de Itens]]*Planejamento2024[[#This Row],[Valor unitário]]</f>
        <v>2107</v>
      </c>
      <c r="J572" s="83" t="s">
        <v>20</v>
      </c>
      <c r="K572" s="83" t="s">
        <v>478</v>
      </c>
      <c r="L572" s="86">
        <v>45292</v>
      </c>
      <c r="M572" s="83" t="s">
        <v>20</v>
      </c>
      <c r="N572" s="87" t="s">
        <v>1361</v>
      </c>
      <c r="O572" s="83" t="s">
        <v>827</v>
      </c>
    </row>
    <row r="573" spans="1:15" ht="36">
      <c r="A573" s="81">
        <f t="shared" si="8"/>
        <v>572</v>
      </c>
      <c r="B573" s="82" t="s">
        <v>1424</v>
      </c>
      <c r="C573" s="83" t="s">
        <v>34</v>
      </c>
      <c r="D573" s="83" t="s">
        <v>35</v>
      </c>
      <c r="E573" s="84">
        <v>200</v>
      </c>
      <c r="F573" s="85">
        <v>13.78</v>
      </c>
      <c r="G573" s="83" t="s">
        <v>885</v>
      </c>
      <c r="H573" s="83" t="s">
        <v>1360</v>
      </c>
      <c r="I573" s="85">
        <f>Planejamento2024[[#This Row],[Qnt de Itens]]*Planejamento2024[[#This Row],[Valor unitário]]</f>
        <v>2756</v>
      </c>
      <c r="J573" s="83" t="s">
        <v>20</v>
      </c>
      <c r="K573" s="83" t="s">
        <v>478</v>
      </c>
      <c r="L573" s="86">
        <v>45292</v>
      </c>
      <c r="M573" s="83" t="s">
        <v>20</v>
      </c>
      <c r="N573" s="87" t="s">
        <v>1361</v>
      </c>
      <c r="O573" s="83" t="s">
        <v>827</v>
      </c>
    </row>
    <row r="574" spans="1:15" ht="27">
      <c r="A574" s="81">
        <f t="shared" si="8"/>
        <v>573</v>
      </c>
      <c r="B574" s="82" t="s">
        <v>1425</v>
      </c>
      <c r="C574" s="83" t="s">
        <v>34</v>
      </c>
      <c r="D574" s="83" t="s">
        <v>35</v>
      </c>
      <c r="E574" s="84">
        <v>200</v>
      </c>
      <c r="F574" s="85">
        <v>83.74</v>
      </c>
      <c r="G574" s="83" t="s">
        <v>885</v>
      </c>
      <c r="H574" s="83" t="s">
        <v>1360</v>
      </c>
      <c r="I574" s="85">
        <f>Planejamento2024[[#This Row],[Qnt de Itens]]*Planejamento2024[[#This Row],[Valor unitário]]</f>
        <v>16748</v>
      </c>
      <c r="J574" s="83" t="s">
        <v>20</v>
      </c>
      <c r="K574" s="83" t="s">
        <v>478</v>
      </c>
      <c r="L574" s="86">
        <v>45292</v>
      </c>
      <c r="M574" s="83" t="s">
        <v>20</v>
      </c>
      <c r="N574" s="87" t="s">
        <v>1361</v>
      </c>
      <c r="O574" s="83" t="s">
        <v>827</v>
      </c>
    </row>
    <row r="575" spans="1:15" ht="27">
      <c r="A575" s="81">
        <f t="shared" si="8"/>
        <v>574</v>
      </c>
      <c r="B575" s="82" t="s">
        <v>1426</v>
      </c>
      <c r="C575" s="83" t="s">
        <v>34</v>
      </c>
      <c r="D575" s="83" t="s">
        <v>35</v>
      </c>
      <c r="E575" s="84">
        <v>200</v>
      </c>
      <c r="F575" s="85">
        <v>73.92</v>
      </c>
      <c r="G575" s="83" t="s">
        <v>885</v>
      </c>
      <c r="H575" s="83" t="s">
        <v>1360</v>
      </c>
      <c r="I575" s="85">
        <f>Planejamento2024[[#This Row],[Qnt de Itens]]*Planejamento2024[[#This Row],[Valor unitário]]</f>
        <v>14784</v>
      </c>
      <c r="J575" s="83" t="s">
        <v>20</v>
      </c>
      <c r="K575" s="83" t="s">
        <v>478</v>
      </c>
      <c r="L575" s="86">
        <v>45292</v>
      </c>
      <c r="M575" s="83" t="s">
        <v>20</v>
      </c>
      <c r="N575" s="87" t="s">
        <v>1361</v>
      </c>
      <c r="O575" s="83" t="s">
        <v>827</v>
      </c>
    </row>
    <row r="576" spans="1:15" ht="27">
      <c r="A576" s="81">
        <f t="shared" si="8"/>
        <v>575</v>
      </c>
      <c r="B576" s="82" t="s">
        <v>1427</v>
      </c>
      <c r="C576" s="83" t="s">
        <v>34</v>
      </c>
      <c r="D576" s="83" t="s">
        <v>35</v>
      </c>
      <c r="E576" s="84">
        <v>400</v>
      </c>
      <c r="F576" s="85">
        <v>3.34</v>
      </c>
      <c r="G576" s="83" t="s">
        <v>885</v>
      </c>
      <c r="H576" s="83" t="s">
        <v>1360</v>
      </c>
      <c r="I576" s="85">
        <f>Planejamento2024[[#This Row],[Qnt de Itens]]*Planejamento2024[[#This Row],[Valor unitário]]</f>
        <v>1336</v>
      </c>
      <c r="J576" s="83" t="s">
        <v>20</v>
      </c>
      <c r="K576" s="83" t="s">
        <v>478</v>
      </c>
      <c r="L576" s="86">
        <v>45292</v>
      </c>
      <c r="M576" s="83" t="s">
        <v>20</v>
      </c>
      <c r="N576" s="87" t="s">
        <v>1361</v>
      </c>
      <c r="O576" s="83" t="s">
        <v>827</v>
      </c>
    </row>
    <row r="577" spans="1:15" ht="27">
      <c r="A577" s="81">
        <f t="shared" si="8"/>
        <v>576</v>
      </c>
      <c r="B577" s="82" t="s">
        <v>1428</v>
      </c>
      <c r="C577" s="83" t="s">
        <v>34</v>
      </c>
      <c r="D577" s="83" t="s">
        <v>35</v>
      </c>
      <c r="E577" s="84">
        <v>400</v>
      </c>
      <c r="F577" s="85">
        <v>9.82</v>
      </c>
      <c r="G577" s="83" t="s">
        <v>885</v>
      </c>
      <c r="H577" s="83" t="s">
        <v>1360</v>
      </c>
      <c r="I577" s="85">
        <f>Planejamento2024[[#This Row],[Qnt de Itens]]*Planejamento2024[[#This Row],[Valor unitário]]</f>
        <v>3928</v>
      </c>
      <c r="J577" s="83" t="s">
        <v>20</v>
      </c>
      <c r="K577" s="83" t="s">
        <v>478</v>
      </c>
      <c r="L577" s="86">
        <v>45292</v>
      </c>
      <c r="M577" s="83" t="s">
        <v>20</v>
      </c>
      <c r="N577" s="87" t="s">
        <v>1361</v>
      </c>
      <c r="O577" s="83" t="s">
        <v>827</v>
      </c>
    </row>
    <row r="578" spans="1:15" ht="36">
      <c r="A578" s="81">
        <f t="shared" ref="A578:A641" si="9">ROW(A577)</f>
        <v>577</v>
      </c>
      <c r="B578" s="82" t="s">
        <v>1429</v>
      </c>
      <c r="C578" s="83" t="s">
        <v>34</v>
      </c>
      <c r="D578" s="83" t="s">
        <v>35</v>
      </c>
      <c r="E578" s="84">
        <v>300</v>
      </c>
      <c r="F578" s="85">
        <v>18.8</v>
      </c>
      <c r="G578" s="83" t="s">
        <v>885</v>
      </c>
      <c r="H578" s="83" t="s">
        <v>1360</v>
      </c>
      <c r="I578" s="85">
        <f>Planejamento2024[[#This Row],[Qnt de Itens]]*Planejamento2024[[#This Row],[Valor unitário]]</f>
        <v>5640</v>
      </c>
      <c r="J578" s="83" t="s">
        <v>20</v>
      </c>
      <c r="K578" s="83" t="s">
        <v>478</v>
      </c>
      <c r="L578" s="86">
        <v>45292</v>
      </c>
      <c r="M578" s="83" t="s">
        <v>20</v>
      </c>
      <c r="N578" s="87" t="s">
        <v>1361</v>
      </c>
      <c r="O578" s="83" t="s">
        <v>827</v>
      </c>
    </row>
    <row r="579" spans="1:15" ht="18">
      <c r="A579" s="81">
        <f t="shared" si="9"/>
        <v>578</v>
      </c>
      <c r="B579" s="82" t="s">
        <v>1430</v>
      </c>
      <c r="C579" s="83" t="s">
        <v>34</v>
      </c>
      <c r="D579" s="83" t="s">
        <v>35</v>
      </c>
      <c r="E579" s="84">
        <v>500</v>
      </c>
      <c r="F579" s="85">
        <v>2.99</v>
      </c>
      <c r="G579" s="83" t="s">
        <v>885</v>
      </c>
      <c r="H579" s="83" t="s">
        <v>1360</v>
      </c>
      <c r="I579" s="85">
        <f>Planejamento2024[[#This Row],[Qnt de Itens]]*Planejamento2024[[#This Row],[Valor unitário]]</f>
        <v>1495</v>
      </c>
      <c r="J579" s="83" t="s">
        <v>20</v>
      </c>
      <c r="K579" s="83" t="s">
        <v>478</v>
      </c>
      <c r="L579" s="86">
        <v>45292</v>
      </c>
      <c r="M579" s="83" t="s">
        <v>20</v>
      </c>
      <c r="N579" s="87" t="s">
        <v>1361</v>
      </c>
      <c r="O579" s="83" t="s">
        <v>827</v>
      </c>
    </row>
    <row r="580" spans="1:15" ht="27">
      <c r="A580" s="81">
        <f t="shared" si="9"/>
        <v>579</v>
      </c>
      <c r="B580" s="82" t="s">
        <v>1431</v>
      </c>
      <c r="C580" s="83" t="s">
        <v>34</v>
      </c>
      <c r="D580" s="83" t="s">
        <v>35</v>
      </c>
      <c r="E580" s="84">
        <v>200</v>
      </c>
      <c r="F580" s="85">
        <v>1.27</v>
      </c>
      <c r="G580" s="83" t="s">
        <v>885</v>
      </c>
      <c r="H580" s="83" t="s">
        <v>1360</v>
      </c>
      <c r="I580" s="85">
        <f>Planejamento2024[[#This Row],[Qnt de Itens]]*Planejamento2024[[#This Row],[Valor unitário]]</f>
        <v>254</v>
      </c>
      <c r="J580" s="83" t="s">
        <v>20</v>
      </c>
      <c r="K580" s="83" t="s">
        <v>478</v>
      </c>
      <c r="L580" s="86">
        <v>45292</v>
      </c>
      <c r="M580" s="83" t="s">
        <v>20</v>
      </c>
      <c r="N580" s="87" t="s">
        <v>1361</v>
      </c>
      <c r="O580" s="83" t="s">
        <v>827</v>
      </c>
    </row>
    <row r="581" spans="1:15" ht="18">
      <c r="A581" s="81">
        <f t="shared" si="9"/>
        <v>580</v>
      </c>
      <c r="B581" s="82" t="s">
        <v>1432</v>
      </c>
      <c r="C581" s="83" t="s">
        <v>34</v>
      </c>
      <c r="D581" s="83" t="s">
        <v>35</v>
      </c>
      <c r="E581" s="84">
        <v>200</v>
      </c>
      <c r="F581" s="85">
        <v>3.11</v>
      </c>
      <c r="G581" s="83" t="s">
        <v>885</v>
      </c>
      <c r="H581" s="83" t="s">
        <v>1360</v>
      </c>
      <c r="I581" s="85">
        <f>Planejamento2024[[#This Row],[Qnt de Itens]]*Planejamento2024[[#This Row],[Valor unitário]]</f>
        <v>622</v>
      </c>
      <c r="J581" s="83" t="s">
        <v>20</v>
      </c>
      <c r="K581" s="83" t="s">
        <v>478</v>
      </c>
      <c r="L581" s="86">
        <v>45292</v>
      </c>
      <c r="M581" s="83" t="s">
        <v>20</v>
      </c>
      <c r="N581" s="87" t="s">
        <v>1361</v>
      </c>
      <c r="O581" s="83" t="s">
        <v>827</v>
      </c>
    </row>
    <row r="582" spans="1:15" ht="18">
      <c r="A582" s="81">
        <f t="shared" si="9"/>
        <v>581</v>
      </c>
      <c r="B582" s="82" t="s">
        <v>1433</v>
      </c>
      <c r="C582" s="83" t="s">
        <v>34</v>
      </c>
      <c r="D582" s="83" t="s">
        <v>35</v>
      </c>
      <c r="E582" s="84">
        <v>500</v>
      </c>
      <c r="F582" s="85">
        <v>2.35</v>
      </c>
      <c r="G582" s="83" t="s">
        <v>885</v>
      </c>
      <c r="H582" s="83" t="s">
        <v>1360</v>
      </c>
      <c r="I582" s="85">
        <f>Planejamento2024[[#This Row],[Qnt de Itens]]*Planejamento2024[[#This Row],[Valor unitário]]</f>
        <v>1175</v>
      </c>
      <c r="J582" s="83" t="s">
        <v>20</v>
      </c>
      <c r="K582" s="83" t="s">
        <v>478</v>
      </c>
      <c r="L582" s="86">
        <v>45292</v>
      </c>
      <c r="M582" s="83" t="s">
        <v>20</v>
      </c>
      <c r="N582" s="87" t="s">
        <v>1361</v>
      </c>
      <c r="O582" s="83" t="s">
        <v>827</v>
      </c>
    </row>
    <row r="583" spans="1:15" ht="18">
      <c r="A583" s="81">
        <f t="shared" si="9"/>
        <v>582</v>
      </c>
      <c r="B583" s="82" t="s">
        <v>1434</v>
      </c>
      <c r="C583" s="83" t="s">
        <v>34</v>
      </c>
      <c r="D583" s="83" t="s">
        <v>35</v>
      </c>
      <c r="E583" s="84">
        <v>500</v>
      </c>
      <c r="F583" s="85">
        <v>2.33</v>
      </c>
      <c r="G583" s="83" t="s">
        <v>885</v>
      </c>
      <c r="H583" s="83" t="s">
        <v>1360</v>
      </c>
      <c r="I583" s="85">
        <f>Planejamento2024[[#This Row],[Qnt de Itens]]*Planejamento2024[[#This Row],[Valor unitário]]</f>
        <v>1165</v>
      </c>
      <c r="J583" s="83" t="s">
        <v>20</v>
      </c>
      <c r="K583" s="83" t="s">
        <v>478</v>
      </c>
      <c r="L583" s="86">
        <v>45292</v>
      </c>
      <c r="M583" s="83" t="s">
        <v>20</v>
      </c>
      <c r="N583" s="87" t="s">
        <v>1361</v>
      </c>
      <c r="O583" s="83" t="s">
        <v>827</v>
      </c>
    </row>
    <row r="584" spans="1:15" ht="27">
      <c r="A584" s="81">
        <f t="shared" si="9"/>
        <v>583</v>
      </c>
      <c r="B584" s="82" t="s">
        <v>1435</v>
      </c>
      <c r="C584" s="83" t="s">
        <v>34</v>
      </c>
      <c r="D584" s="83" t="s">
        <v>35</v>
      </c>
      <c r="E584" s="84">
        <v>200</v>
      </c>
      <c r="F584" s="85">
        <v>1.74</v>
      </c>
      <c r="G584" s="83" t="s">
        <v>885</v>
      </c>
      <c r="H584" s="83" t="s">
        <v>1360</v>
      </c>
      <c r="I584" s="85">
        <f>Planejamento2024[[#This Row],[Qnt de Itens]]*Planejamento2024[[#This Row],[Valor unitário]]</f>
        <v>348</v>
      </c>
      <c r="J584" s="83" t="s">
        <v>20</v>
      </c>
      <c r="K584" s="83" t="s">
        <v>478</v>
      </c>
      <c r="L584" s="86">
        <v>45292</v>
      </c>
      <c r="M584" s="83" t="s">
        <v>20</v>
      </c>
      <c r="N584" s="87" t="s">
        <v>1361</v>
      </c>
      <c r="O584" s="83" t="s">
        <v>827</v>
      </c>
    </row>
    <row r="585" spans="1:15" ht="27">
      <c r="A585" s="81">
        <f t="shared" si="9"/>
        <v>584</v>
      </c>
      <c r="B585" s="82" t="s">
        <v>1436</v>
      </c>
      <c r="C585" s="83" t="s">
        <v>34</v>
      </c>
      <c r="D585" s="83" t="s">
        <v>35</v>
      </c>
      <c r="E585" s="84">
        <v>300</v>
      </c>
      <c r="F585" s="85">
        <v>4.74</v>
      </c>
      <c r="G585" s="83" t="s">
        <v>885</v>
      </c>
      <c r="H585" s="83" t="s">
        <v>1360</v>
      </c>
      <c r="I585" s="85">
        <f>Planejamento2024[[#This Row],[Qnt de Itens]]*Planejamento2024[[#This Row],[Valor unitário]]</f>
        <v>1422</v>
      </c>
      <c r="J585" s="83" t="s">
        <v>20</v>
      </c>
      <c r="K585" s="83" t="s">
        <v>478</v>
      </c>
      <c r="L585" s="86">
        <v>45292</v>
      </c>
      <c r="M585" s="83" t="s">
        <v>20</v>
      </c>
      <c r="N585" s="87" t="s">
        <v>1361</v>
      </c>
      <c r="O585" s="83" t="s">
        <v>827</v>
      </c>
    </row>
    <row r="586" spans="1:15" ht="27">
      <c r="A586" s="81">
        <f t="shared" si="9"/>
        <v>585</v>
      </c>
      <c r="B586" s="82" t="s">
        <v>1437</v>
      </c>
      <c r="C586" s="83" t="s">
        <v>34</v>
      </c>
      <c r="D586" s="83" t="s">
        <v>35</v>
      </c>
      <c r="E586" s="84">
        <v>300</v>
      </c>
      <c r="F586" s="85">
        <v>40.89</v>
      </c>
      <c r="G586" s="83" t="s">
        <v>885</v>
      </c>
      <c r="H586" s="83" t="s">
        <v>1360</v>
      </c>
      <c r="I586" s="85">
        <f>Planejamento2024[[#This Row],[Qnt de Itens]]*Planejamento2024[[#This Row],[Valor unitário]]</f>
        <v>12267</v>
      </c>
      <c r="J586" s="83" t="s">
        <v>20</v>
      </c>
      <c r="K586" s="83" t="s">
        <v>478</v>
      </c>
      <c r="L586" s="86">
        <v>45292</v>
      </c>
      <c r="M586" s="83" t="s">
        <v>20</v>
      </c>
      <c r="N586" s="87" t="s">
        <v>1361</v>
      </c>
      <c r="O586" s="83" t="s">
        <v>827</v>
      </c>
    </row>
    <row r="587" spans="1:15" ht="27">
      <c r="A587" s="81">
        <f t="shared" si="9"/>
        <v>586</v>
      </c>
      <c r="B587" s="82" t="s">
        <v>1438</v>
      </c>
      <c r="C587" s="83" t="s">
        <v>34</v>
      </c>
      <c r="D587" s="83" t="s">
        <v>35</v>
      </c>
      <c r="E587" s="84">
        <v>300</v>
      </c>
      <c r="F587" s="85">
        <v>38.19</v>
      </c>
      <c r="G587" s="83" t="s">
        <v>885</v>
      </c>
      <c r="H587" s="83" t="s">
        <v>1360</v>
      </c>
      <c r="I587" s="85">
        <f>Planejamento2024[[#This Row],[Qnt de Itens]]*Planejamento2024[[#This Row],[Valor unitário]]</f>
        <v>11457</v>
      </c>
      <c r="J587" s="83" t="s">
        <v>20</v>
      </c>
      <c r="K587" s="83" t="s">
        <v>478</v>
      </c>
      <c r="L587" s="86">
        <v>45292</v>
      </c>
      <c r="M587" s="83" t="s">
        <v>20</v>
      </c>
      <c r="N587" s="87" t="s">
        <v>1361</v>
      </c>
      <c r="O587" s="83" t="s">
        <v>827</v>
      </c>
    </row>
    <row r="588" spans="1:15" ht="27">
      <c r="A588" s="81">
        <f t="shared" si="9"/>
        <v>587</v>
      </c>
      <c r="B588" s="82" t="s">
        <v>1439</v>
      </c>
      <c r="C588" s="83" t="s">
        <v>34</v>
      </c>
      <c r="D588" s="83" t="s">
        <v>35</v>
      </c>
      <c r="E588" s="84">
        <v>200</v>
      </c>
      <c r="F588" s="85">
        <v>48.98</v>
      </c>
      <c r="G588" s="83" t="s">
        <v>885</v>
      </c>
      <c r="H588" s="83" t="s">
        <v>1360</v>
      </c>
      <c r="I588" s="85">
        <f>Planejamento2024[[#This Row],[Qnt de Itens]]*Planejamento2024[[#This Row],[Valor unitário]]</f>
        <v>9796</v>
      </c>
      <c r="J588" s="83" t="s">
        <v>20</v>
      </c>
      <c r="K588" s="83" t="s">
        <v>478</v>
      </c>
      <c r="L588" s="86">
        <v>45292</v>
      </c>
      <c r="M588" s="83" t="s">
        <v>20</v>
      </c>
      <c r="N588" s="87" t="s">
        <v>1361</v>
      </c>
      <c r="O588" s="83" t="s">
        <v>827</v>
      </c>
    </row>
    <row r="589" spans="1:15" ht="27">
      <c r="A589" s="81">
        <f t="shared" si="9"/>
        <v>588</v>
      </c>
      <c r="B589" s="82" t="s">
        <v>1440</v>
      </c>
      <c r="C589" s="83" t="s">
        <v>34</v>
      </c>
      <c r="D589" s="83" t="s">
        <v>35</v>
      </c>
      <c r="E589" s="84">
        <v>200</v>
      </c>
      <c r="F589" s="85">
        <v>47.55</v>
      </c>
      <c r="G589" s="83" t="s">
        <v>885</v>
      </c>
      <c r="H589" s="83" t="s">
        <v>1360</v>
      </c>
      <c r="I589" s="85">
        <f>Planejamento2024[[#This Row],[Qnt de Itens]]*Planejamento2024[[#This Row],[Valor unitário]]</f>
        <v>9510</v>
      </c>
      <c r="J589" s="83" t="s">
        <v>20</v>
      </c>
      <c r="K589" s="83" t="s">
        <v>478</v>
      </c>
      <c r="L589" s="86">
        <v>45292</v>
      </c>
      <c r="M589" s="83" t="s">
        <v>20</v>
      </c>
      <c r="N589" s="87" t="s">
        <v>1361</v>
      </c>
      <c r="O589" s="83" t="s">
        <v>827</v>
      </c>
    </row>
    <row r="590" spans="1:15" ht="72">
      <c r="A590" s="81">
        <f t="shared" si="9"/>
        <v>589</v>
      </c>
      <c r="B590" s="82" t="s">
        <v>1441</v>
      </c>
      <c r="C590" s="83" t="s">
        <v>34</v>
      </c>
      <c r="D590" s="83" t="s">
        <v>35</v>
      </c>
      <c r="E590" s="84">
        <v>1</v>
      </c>
      <c r="F590" s="85">
        <v>209.58</v>
      </c>
      <c r="G590" s="83" t="s">
        <v>953</v>
      </c>
      <c r="H590" s="83" t="s">
        <v>1360</v>
      </c>
      <c r="I590" s="85">
        <f>Planejamento2024[[#This Row],[Qnt de Itens]]*Planejamento2024[[#This Row],[Valor unitário]]</f>
        <v>209.58</v>
      </c>
      <c r="J590" s="83" t="s">
        <v>20</v>
      </c>
      <c r="K590" s="83" t="s">
        <v>478</v>
      </c>
      <c r="L590" s="86">
        <v>45292</v>
      </c>
      <c r="M590" s="83" t="s">
        <v>20</v>
      </c>
      <c r="N590" s="87" t="s">
        <v>1361</v>
      </c>
      <c r="O590" s="83" t="s">
        <v>827</v>
      </c>
    </row>
    <row r="591" spans="1:15" ht="81">
      <c r="A591" s="81">
        <f t="shared" si="9"/>
        <v>590</v>
      </c>
      <c r="B591" s="82" t="s">
        <v>1442</v>
      </c>
      <c r="C591" s="83" t="s">
        <v>34</v>
      </c>
      <c r="D591" s="83" t="s">
        <v>35</v>
      </c>
      <c r="E591" s="84">
        <v>1</v>
      </c>
      <c r="F591" s="85">
        <v>219.98</v>
      </c>
      <c r="G591" s="83" t="s">
        <v>953</v>
      </c>
      <c r="H591" s="83" t="s">
        <v>1360</v>
      </c>
      <c r="I591" s="85">
        <f>Planejamento2024[[#This Row],[Qnt de Itens]]*Planejamento2024[[#This Row],[Valor unitário]]</f>
        <v>219.98</v>
      </c>
      <c r="J591" s="83" t="s">
        <v>20</v>
      </c>
      <c r="K591" s="83" t="s">
        <v>478</v>
      </c>
      <c r="L591" s="86">
        <v>45292</v>
      </c>
      <c r="M591" s="83" t="s">
        <v>20</v>
      </c>
      <c r="N591" s="87" t="s">
        <v>1361</v>
      </c>
      <c r="O591" s="83" t="s">
        <v>827</v>
      </c>
    </row>
    <row r="592" spans="1:15" ht="72">
      <c r="A592" s="81">
        <f t="shared" si="9"/>
        <v>591</v>
      </c>
      <c r="B592" s="82" t="s">
        <v>1443</v>
      </c>
      <c r="C592" s="83" t="s">
        <v>34</v>
      </c>
      <c r="D592" s="83" t="s">
        <v>35</v>
      </c>
      <c r="E592" s="84">
        <v>1</v>
      </c>
      <c r="F592" s="85">
        <v>1334.09</v>
      </c>
      <c r="G592" s="83" t="s">
        <v>953</v>
      </c>
      <c r="H592" s="83" t="s">
        <v>1360</v>
      </c>
      <c r="I592" s="85">
        <f>Planejamento2024[[#This Row],[Qnt de Itens]]*Planejamento2024[[#This Row],[Valor unitário]]</f>
        <v>1334.09</v>
      </c>
      <c r="J592" s="83" t="s">
        <v>20</v>
      </c>
      <c r="K592" s="83" t="s">
        <v>478</v>
      </c>
      <c r="L592" s="86">
        <v>45292</v>
      </c>
      <c r="M592" s="83" t="s">
        <v>20</v>
      </c>
      <c r="N592" s="87" t="s">
        <v>1361</v>
      </c>
      <c r="O592" s="83" t="s">
        <v>827</v>
      </c>
    </row>
    <row r="593" spans="1:15" ht="81">
      <c r="A593" s="81">
        <f t="shared" si="9"/>
        <v>592</v>
      </c>
      <c r="B593" s="82" t="s">
        <v>1444</v>
      </c>
      <c r="C593" s="83" t="s">
        <v>34</v>
      </c>
      <c r="D593" s="83" t="s">
        <v>35</v>
      </c>
      <c r="E593" s="84">
        <v>1</v>
      </c>
      <c r="F593" s="85">
        <v>1357.5</v>
      </c>
      <c r="G593" s="83" t="s">
        <v>953</v>
      </c>
      <c r="H593" s="83" t="s">
        <v>1360</v>
      </c>
      <c r="I593" s="85">
        <f>Planejamento2024[[#This Row],[Qnt de Itens]]*Planejamento2024[[#This Row],[Valor unitário]]</f>
        <v>1357.5</v>
      </c>
      <c r="J593" s="83" t="s">
        <v>20</v>
      </c>
      <c r="K593" s="83" t="s">
        <v>478</v>
      </c>
      <c r="L593" s="86">
        <v>45292</v>
      </c>
      <c r="M593" s="83" t="s">
        <v>20</v>
      </c>
      <c r="N593" s="87" t="s">
        <v>1361</v>
      </c>
      <c r="O593" s="83" t="s">
        <v>827</v>
      </c>
    </row>
    <row r="594" spans="1:15" ht="72">
      <c r="A594" s="81">
        <f t="shared" si="9"/>
        <v>593</v>
      </c>
      <c r="B594" s="82" t="s">
        <v>1445</v>
      </c>
      <c r="C594" s="83" t="s">
        <v>34</v>
      </c>
      <c r="D594" s="83" t="s">
        <v>35</v>
      </c>
      <c r="E594" s="84">
        <v>2</v>
      </c>
      <c r="F594" s="85">
        <v>341.23</v>
      </c>
      <c r="G594" s="83" t="s">
        <v>953</v>
      </c>
      <c r="H594" s="83" t="s">
        <v>1360</v>
      </c>
      <c r="I594" s="85">
        <f>Planejamento2024[[#This Row],[Qnt de Itens]]*Planejamento2024[[#This Row],[Valor unitário]]</f>
        <v>682.46</v>
      </c>
      <c r="J594" s="83" t="s">
        <v>20</v>
      </c>
      <c r="K594" s="83" t="s">
        <v>478</v>
      </c>
      <c r="L594" s="86">
        <v>45292</v>
      </c>
      <c r="M594" s="83" t="s">
        <v>20</v>
      </c>
      <c r="N594" s="87" t="s">
        <v>1361</v>
      </c>
      <c r="O594" s="83" t="s">
        <v>827</v>
      </c>
    </row>
    <row r="595" spans="1:15" ht="72">
      <c r="A595" s="81">
        <f t="shared" si="9"/>
        <v>594</v>
      </c>
      <c r="B595" s="82" t="s">
        <v>1446</v>
      </c>
      <c r="C595" s="83" t="s">
        <v>34</v>
      </c>
      <c r="D595" s="83" t="s">
        <v>35</v>
      </c>
      <c r="E595" s="84">
        <v>2</v>
      </c>
      <c r="F595" s="85">
        <v>350.85</v>
      </c>
      <c r="G595" s="83" t="s">
        <v>953</v>
      </c>
      <c r="H595" s="83" t="s">
        <v>1360</v>
      </c>
      <c r="I595" s="85">
        <f>Planejamento2024[[#This Row],[Qnt de Itens]]*Planejamento2024[[#This Row],[Valor unitário]]</f>
        <v>701.7</v>
      </c>
      <c r="J595" s="83" t="s">
        <v>20</v>
      </c>
      <c r="K595" s="83" t="s">
        <v>478</v>
      </c>
      <c r="L595" s="86">
        <v>45292</v>
      </c>
      <c r="M595" s="83" t="s">
        <v>20</v>
      </c>
      <c r="N595" s="87" t="s">
        <v>1361</v>
      </c>
      <c r="O595" s="83" t="s">
        <v>827</v>
      </c>
    </row>
    <row r="596" spans="1:15" ht="81">
      <c r="A596" s="81">
        <f t="shared" si="9"/>
        <v>595</v>
      </c>
      <c r="B596" s="82" t="s">
        <v>1447</v>
      </c>
      <c r="C596" s="83" t="s">
        <v>34</v>
      </c>
      <c r="D596" s="83" t="s">
        <v>35</v>
      </c>
      <c r="E596" s="84">
        <v>2</v>
      </c>
      <c r="F596" s="85">
        <v>367.57</v>
      </c>
      <c r="G596" s="83" t="s">
        <v>953</v>
      </c>
      <c r="H596" s="83" t="s">
        <v>1360</v>
      </c>
      <c r="I596" s="85">
        <f>Planejamento2024[[#This Row],[Qnt de Itens]]*Planejamento2024[[#This Row],[Valor unitário]]</f>
        <v>735.14</v>
      </c>
      <c r="J596" s="83" t="s">
        <v>20</v>
      </c>
      <c r="K596" s="83" t="s">
        <v>478</v>
      </c>
      <c r="L596" s="86">
        <v>45292</v>
      </c>
      <c r="M596" s="83" t="s">
        <v>20</v>
      </c>
      <c r="N596" s="87" t="s">
        <v>1361</v>
      </c>
      <c r="O596" s="83" t="s">
        <v>827</v>
      </c>
    </row>
    <row r="597" spans="1:15" ht="63">
      <c r="A597" s="81">
        <f t="shared" si="9"/>
        <v>596</v>
      </c>
      <c r="B597" s="82" t="s">
        <v>1448</v>
      </c>
      <c r="C597" s="83" t="s">
        <v>34</v>
      </c>
      <c r="D597" s="83" t="s">
        <v>35</v>
      </c>
      <c r="E597" s="84">
        <v>2</v>
      </c>
      <c r="F597" s="85">
        <v>1621.33</v>
      </c>
      <c r="G597" s="83" t="s">
        <v>953</v>
      </c>
      <c r="H597" s="83" t="s">
        <v>1360</v>
      </c>
      <c r="I597" s="85">
        <f>Planejamento2024[[#This Row],[Qnt de Itens]]*Planejamento2024[[#This Row],[Valor unitário]]</f>
        <v>3242.66</v>
      </c>
      <c r="J597" s="83" t="s">
        <v>20</v>
      </c>
      <c r="K597" s="83" t="s">
        <v>478</v>
      </c>
      <c r="L597" s="86">
        <v>45292</v>
      </c>
      <c r="M597" s="83" t="s">
        <v>20</v>
      </c>
      <c r="N597" s="87" t="s">
        <v>1361</v>
      </c>
      <c r="O597" s="83" t="s">
        <v>827</v>
      </c>
    </row>
    <row r="598" spans="1:15" ht="72">
      <c r="A598" s="81">
        <f t="shared" si="9"/>
        <v>597</v>
      </c>
      <c r="B598" s="82" t="s">
        <v>1449</v>
      </c>
      <c r="C598" s="83" t="s">
        <v>34</v>
      </c>
      <c r="D598" s="83" t="s">
        <v>35</v>
      </c>
      <c r="E598" s="84">
        <v>2</v>
      </c>
      <c r="F598" s="85">
        <v>519.37</v>
      </c>
      <c r="G598" s="83" t="s">
        <v>953</v>
      </c>
      <c r="H598" s="83" t="s">
        <v>1360</v>
      </c>
      <c r="I598" s="85">
        <f>Planejamento2024[[#This Row],[Qnt de Itens]]*Planejamento2024[[#This Row],[Valor unitário]]</f>
        <v>1038.74</v>
      </c>
      <c r="J598" s="83" t="s">
        <v>20</v>
      </c>
      <c r="K598" s="83" t="s">
        <v>478</v>
      </c>
      <c r="L598" s="86">
        <v>45292</v>
      </c>
      <c r="M598" s="83" t="s">
        <v>20</v>
      </c>
      <c r="N598" s="87" t="s">
        <v>1361</v>
      </c>
      <c r="O598" s="83" t="s">
        <v>827</v>
      </c>
    </row>
    <row r="599" spans="1:15" ht="81">
      <c r="A599" s="81">
        <f t="shared" si="9"/>
        <v>598</v>
      </c>
      <c r="B599" s="82" t="s">
        <v>1450</v>
      </c>
      <c r="C599" s="83" t="s">
        <v>34</v>
      </c>
      <c r="D599" s="83" t="s">
        <v>35</v>
      </c>
      <c r="E599" s="84">
        <v>2</v>
      </c>
      <c r="F599" s="85">
        <v>521.04</v>
      </c>
      <c r="G599" s="83" t="s">
        <v>953</v>
      </c>
      <c r="H599" s="83" t="s">
        <v>1360</v>
      </c>
      <c r="I599" s="85">
        <f>Planejamento2024[[#This Row],[Qnt de Itens]]*Planejamento2024[[#This Row],[Valor unitário]]</f>
        <v>1042.08</v>
      </c>
      <c r="J599" s="83" t="s">
        <v>20</v>
      </c>
      <c r="K599" s="83" t="s">
        <v>478</v>
      </c>
      <c r="L599" s="86">
        <v>45292</v>
      </c>
      <c r="M599" s="83" t="s">
        <v>20</v>
      </c>
      <c r="N599" s="87" t="s">
        <v>1361</v>
      </c>
      <c r="O599" s="83" t="s">
        <v>827</v>
      </c>
    </row>
    <row r="600" spans="1:15" ht="72">
      <c r="A600" s="81">
        <f t="shared" si="9"/>
        <v>599</v>
      </c>
      <c r="B600" s="82" t="s">
        <v>1451</v>
      </c>
      <c r="C600" s="83" t="s">
        <v>34</v>
      </c>
      <c r="D600" s="83" t="s">
        <v>35</v>
      </c>
      <c r="E600" s="84">
        <v>2</v>
      </c>
      <c r="F600" s="85">
        <v>519.37</v>
      </c>
      <c r="G600" s="83" t="s">
        <v>953</v>
      </c>
      <c r="H600" s="83" t="s">
        <v>1360</v>
      </c>
      <c r="I600" s="85">
        <f>Planejamento2024[[#This Row],[Qnt de Itens]]*Planejamento2024[[#This Row],[Valor unitário]]</f>
        <v>1038.74</v>
      </c>
      <c r="J600" s="83" t="s">
        <v>20</v>
      </c>
      <c r="K600" s="83" t="s">
        <v>478</v>
      </c>
      <c r="L600" s="86">
        <v>45292</v>
      </c>
      <c r="M600" s="83" t="s">
        <v>20</v>
      </c>
      <c r="N600" s="87" t="s">
        <v>1361</v>
      </c>
      <c r="O600" s="83" t="s">
        <v>827</v>
      </c>
    </row>
    <row r="601" spans="1:15" ht="72">
      <c r="A601" s="81">
        <f t="shared" si="9"/>
        <v>600</v>
      </c>
      <c r="B601" s="82" t="s">
        <v>1452</v>
      </c>
      <c r="C601" s="83" t="s">
        <v>34</v>
      </c>
      <c r="D601" s="83" t="s">
        <v>35</v>
      </c>
      <c r="E601" s="84">
        <v>2</v>
      </c>
      <c r="F601" s="85">
        <v>763.95</v>
      </c>
      <c r="G601" s="83" t="s">
        <v>953</v>
      </c>
      <c r="H601" s="83" t="s">
        <v>1360</v>
      </c>
      <c r="I601" s="85">
        <f>Planejamento2024[[#This Row],[Qnt de Itens]]*Planejamento2024[[#This Row],[Valor unitário]]</f>
        <v>1527.9</v>
      </c>
      <c r="J601" s="83" t="s">
        <v>20</v>
      </c>
      <c r="K601" s="83" t="s">
        <v>478</v>
      </c>
      <c r="L601" s="86">
        <v>45292</v>
      </c>
      <c r="M601" s="83" t="s">
        <v>20</v>
      </c>
      <c r="N601" s="87" t="s">
        <v>1361</v>
      </c>
      <c r="O601" s="83" t="s">
        <v>827</v>
      </c>
    </row>
    <row r="602" spans="1:15" ht="81">
      <c r="A602" s="81">
        <f t="shared" si="9"/>
        <v>601</v>
      </c>
      <c r="B602" s="82" t="s">
        <v>1453</v>
      </c>
      <c r="C602" s="83" t="s">
        <v>34</v>
      </c>
      <c r="D602" s="83" t="s">
        <v>35</v>
      </c>
      <c r="E602" s="84">
        <v>2</v>
      </c>
      <c r="F602" s="85">
        <v>765.62</v>
      </c>
      <c r="G602" s="83" t="s">
        <v>953</v>
      </c>
      <c r="H602" s="83" t="s">
        <v>1360</v>
      </c>
      <c r="I602" s="85">
        <f>Planejamento2024[[#This Row],[Qnt de Itens]]*Planejamento2024[[#This Row],[Valor unitário]]</f>
        <v>1531.24</v>
      </c>
      <c r="J602" s="83" t="s">
        <v>20</v>
      </c>
      <c r="K602" s="83" t="s">
        <v>478</v>
      </c>
      <c r="L602" s="86">
        <v>45292</v>
      </c>
      <c r="M602" s="83" t="s">
        <v>20</v>
      </c>
      <c r="N602" s="87" t="s">
        <v>1361</v>
      </c>
      <c r="O602" s="83" t="s">
        <v>827</v>
      </c>
    </row>
    <row r="603" spans="1:15" ht="72">
      <c r="A603" s="81">
        <f t="shared" si="9"/>
        <v>602</v>
      </c>
      <c r="B603" s="82" t="s">
        <v>1454</v>
      </c>
      <c r="C603" s="83" t="s">
        <v>34</v>
      </c>
      <c r="D603" s="83" t="s">
        <v>35</v>
      </c>
      <c r="E603" s="84">
        <v>2</v>
      </c>
      <c r="F603" s="85">
        <v>763.95</v>
      </c>
      <c r="G603" s="83" t="s">
        <v>953</v>
      </c>
      <c r="H603" s="83" t="s">
        <v>1360</v>
      </c>
      <c r="I603" s="85">
        <f>Planejamento2024[[#This Row],[Qnt de Itens]]*Planejamento2024[[#This Row],[Valor unitário]]</f>
        <v>1527.9</v>
      </c>
      <c r="J603" s="83" t="s">
        <v>20</v>
      </c>
      <c r="K603" s="83" t="s">
        <v>478</v>
      </c>
      <c r="L603" s="86">
        <v>45292</v>
      </c>
      <c r="M603" s="83" t="s">
        <v>20</v>
      </c>
      <c r="N603" s="87" t="s">
        <v>1361</v>
      </c>
      <c r="O603" s="83" t="s">
        <v>827</v>
      </c>
    </row>
    <row r="604" spans="1:15" ht="81">
      <c r="A604" s="81">
        <f t="shared" si="9"/>
        <v>603</v>
      </c>
      <c r="B604" s="82" t="s">
        <v>1455</v>
      </c>
      <c r="C604" s="83" t="s">
        <v>34</v>
      </c>
      <c r="D604" s="83" t="s">
        <v>35</v>
      </c>
      <c r="E604" s="84">
        <v>5</v>
      </c>
      <c r="F604" s="85">
        <v>2114.6999999999998</v>
      </c>
      <c r="G604" s="83" t="s">
        <v>953</v>
      </c>
      <c r="H604" s="83" t="s">
        <v>1360</v>
      </c>
      <c r="I604" s="85">
        <f>Planejamento2024[[#This Row],[Qnt de Itens]]*Planejamento2024[[#This Row],[Valor unitário]]</f>
        <v>10573.5</v>
      </c>
      <c r="J604" s="83" t="s">
        <v>20</v>
      </c>
      <c r="K604" s="83" t="s">
        <v>478</v>
      </c>
      <c r="L604" s="86">
        <v>45292</v>
      </c>
      <c r="M604" s="83" t="s">
        <v>20</v>
      </c>
      <c r="N604" s="87" t="s">
        <v>1361</v>
      </c>
      <c r="O604" s="83" t="s">
        <v>827</v>
      </c>
    </row>
    <row r="605" spans="1:15" ht="90">
      <c r="A605" s="81">
        <f t="shared" si="9"/>
        <v>604</v>
      </c>
      <c r="B605" s="82" t="s">
        <v>1456</v>
      </c>
      <c r="C605" s="83" t="s">
        <v>34</v>
      </c>
      <c r="D605" s="83" t="s">
        <v>35</v>
      </c>
      <c r="E605" s="84">
        <v>5</v>
      </c>
      <c r="F605" s="85">
        <v>1919.75</v>
      </c>
      <c r="G605" s="83" t="s">
        <v>885</v>
      </c>
      <c r="H605" s="83" t="s">
        <v>1360</v>
      </c>
      <c r="I605" s="85">
        <f>Planejamento2024[[#This Row],[Qnt de Itens]]*Planejamento2024[[#This Row],[Valor unitário]]</f>
        <v>9598.75</v>
      </c>
      <c r="J605" s="83" t="s">
        <v>20</v>
      </c>
      <c r="K605" s="83" t="s">
        <v>478</v>
      </c>
      <c r="L605" s="86">
        <v>45292</v>
      </c>
      <c r="M605" s="83" t="s">
        <v>20</v>
      </c>
      <c r="N605" s="87" t="s">
        <v>1361</v>
      </c>
      <c r="O605" s="83" t="s">
        <v>827</v>
      </c>
    </row>
    <row r="606" spans="1:15" ht="90">
      <c r="A606" s="81">
        <f t="shared" si="9"/>
        <v>605</v>
      </c>
      <c r="B606" s="82" t="s">
        <v>1457</v>
      </c>
      <c r="C606" s="83" t="s">
        <v>34</v>
      </c>
      <c r="D606" s="83" t="s">
        <v>35</v>
      </c>
      <c r="E606" s="84">
        <v>1</v>
      </c>
      <c r="F606" s="85">
        <v>3769.28</v>
      </c>
      <c r="G606" s="83" t="s">
        <v>885</v>
      </c>
      <c r="H606" s="83" t="s">
        <v>1360</v>
      </c>
      <c r="I606" s="85">
        <f>Planejamento2024[[#This Row],[Qnt de Itens]]*Planejamento2024[[#This Row],[Valor unitário]]</f>
        <v>3769.28</v>
      </c>
      <c r="J606" s="83" t="s">
        <v>20</v>
      </c>
      <c r="K606" s="83" t="s">
        <v>478</v>
      </c>
      <c r="L606" s="86">
        <v>45292</v>
      </c>
      <c r="M606" s="83" t="s">
        <v>20</v>
      </c>
      <c r="N606" s="87" t="s">
        <v>1361</v>
      </c>
      <c r="O606" s="83" t="s">
        <v>827</v>
      </c>
    </row>
    <row r="607" spans="1:15" ht="72">
      <c r="A607" s="81">
        <f t="shared" si="9"/>
        <v>606</v>
      </c>
      <c r="B607" s="82" t="s">
        <v>1458</v>
      </c>
      <c r="C607" s="83" t="s">
        <v>34</v>
      </c>
      <c r="D607" s="83" t="s">
        <v>35</v>
      </c>
      <c r="E607" s="84">
        <v>2</v>
      </c>
      <c r="F607" s="85">
        <v>1184.2</v>
      </c>
      <c r="G607" s="83" t="s">
        <v>885</v>
      </c>
      <c r="H607" s="83" t="s">
        <v>1360</v>
      </c>
      <c r="I607" s="85">
        <f>Planejamento2024[[#This Row],[Qnt de Itens]]*Planejamento2024[[#This Row],[Valor unitário]]</f>
        <v>2368.4</v>
      </c>
      <c r="J607" s="83" t="s">
        <v>20</v>
      </c>
      <c r="K607" s="83" t="s">
        <v>478</v>
      </c>
      <c r="L607" s="86">
        <v>45292</v>
      </c>
      <c r="M607" s="83" t="s">
        <v>20</v>
      </c>
      <c r="N607" s="87" t="s">
        <v>1361</v>
      </c>
      <c r="O607" s="83" t="s">
        <v>827</v>
      </c>
    </row>
    <row r="608" spans="1:15" ht="72">
      <c r="A608" s="81">
        <f t="shared" si="9"/>
        <v>607</v>
      </c>
      <c r="B608" s="82" t="s">
        <v>1459</v>
      </c>
      <c r="C608" s="83" t="s">
        <v>34</v>
      </c>
      <c r="D608" s="83" t="s">
        <v>35</v>
      </c>
      <c r="E608" s="84">
        <v>2</v>
      </c>
      <c r="F608" s="85">
        <v>1397.69</v>
      </c>
      <c r="G608" s="83" t="s">
        <v>885</v>
      </c>
      <c r="H608" s="83" t="s">
        <v>1360</v>
      </c>
      <c r="I608" s="85">
        <f>Planejamento2024[[#This Row],[Qnt de Itens]]*Planejamento2024[[#This Row],[Valor unitário]]</f>
        <v>2795.38</v>
      </c>
      <c r="J608" s="83" t="s">
        <v>20</v>
      </c>
      <c r="K608" s="83" t="s">
        <v>478</v>
      </c>
      <c r="L608" s="86">
        <v>45292</v>
      </c>
      <c r="M608" s="83" t="s">
        <v>20</v>
      </c>
      <c r="N608" s="87" t="s">
        <v>1361</v>
      </c>
      <c r="O608" s="83" t="s">
        <v>827</v>
      </c>
    </row>
    <row r="609" spans="1:15" ht="72">
      <c r="A609" s="81">
        <f t="shared" si="9"/>
        <v>608</v>
      </c>
      <c r="B609" s="82" t="s">
        <v>1460</v>
      </c>
      <c r="C609" s="83" t="s">
        <v>34</v>
      </c>
      <c r="D609" s="83" t="s">
        <v>35</v>
      </c>
      <c r="E609" s="84">
        <v>5</v>
      </c>
      <c r="F609" s="85">
        <v>1078.92</v>
      </c>
      <c r="G609" s="83" t="s">
        <v>885</v>
      </c>
      <c r="H609" s="83" t="s">
        <v>1360</v>
      </c>
      <c r="I609" s="85">
        <f>Planejamento2024[[#This Row],[Qnt de Itens]]*Planejamento2024[[#This Row],[Valor unitário]]</f>
        <v>5394.6</v>
      </c>
      <c r="J609" s="83" t="s">
        <v>20</v>
      </c>
      <c r="K609" s="83" t="s">
        <v>478</v>
      </c>
      <c r="L609" s="86">
        <v>45292</v>
      </c>
      <c r="M609" s="83" t="s">
        <v>20</v>
      </c>
      <c r="N609" s="87" t="s">
        <v>1361</v>
      </c>
      <c r="O609" s="83" t="s">
        <v>827</v>
      </c>
    </row>
    <row r="610" spans="1:15" ht="72">
      <c r="A610" s="81">
        <f t="shared" si="9"/>
        <v>609</v>
      </c>
      <c r="B610" s="82" t="s">
        <v>1461</v>
      </c>
      <c r="C610" s="83" t="s">
        <v>34</v>
      </c>
      <c r="D610" s="83" t="s">
        <v>35</v>
      </c>
      <c r="E610" s="84">
        <v>5</v>
      </c>
      <c r="F610" s="85">
        <v>1541.69</v>
      </c>
      <c r="G610" s="83" t="s">
        <v>885</v>
      </c>
      <c r="H610" s="83" t="s">
        <v>1360</v>
      </c>
      <c r="I610" s="85">
        <f>Planejamento2024[[#This Row],[Qnt de Itens]]*Planejamento2024[[#This Row],[Valor unitário]]</f>
        <v>7708.4500000000007</v>
      </c>
      <c r="J610" s="83" t="s">
        <v>20</v>
      </c>
      <c r="K610" s="83" t="s">
        <v>478</v>
      </c>
      <c r="L610" s="86">
        <v>45292</v>
      </c>
      <c r="M610" s="83" t="s">
        <v>20</v>
      </c>
      <c r="N610" s="87" t="s">
        <v>1361</v>
      </c>
      <c r="O610" s="83" t="s">
        <v>827</v>
      </c>
    </row>
    <row r="611" spans="1:15" ht="18">
      <c r="A611" s="81">
        <f t="shared" si="9"/>
        <v>610</v>
      </c>
      <c r="B611" s="82" t="s">
        <v>1462</v>
      </c>
      <c r="C611" s="83" t="s">
        <v>34</v>
      </c>
      <c r="D611" s="83" t="s">
        <v>35</v>
      </c>
      <c r="E611" s="84">
        <v>200</v>
      </c>
      <c r="F611" s="85">
        <v>49.57</v>
      </c>
      <c r="G611" s="83" t="s">
        <v>885</v>
      </c>
      <c r="H611" s="83" t="s">
        <v>1360</v>
      </c>
      <c r="I611" s="85">
        <f>Planejamento2024[[#This Row],[Qnt de Itens]]*Planejamento2024[[#This Row],[Valor unitário]]</f>
        <v>9914</v>
      </c>
      <c r="J611" s="83" t="s">
        <v>20</v>
      </c>
      <c r="K611" s="83" t="s">
        <v>478</v>
      </c>
      <c r="L611" s="86">
        <v>45292</v>
      </c>
      <c r="M611" s="83" t="s">
        <v>20</v>
      </c>
      <c r="N611" s="87" t="s">
        <v>1361</v>
      </c>
      <c r="O611" s="83" t="s">
        <v>827</v>
      </c>
    </row>
    <row r="612" spans="1:15" ht="18">
      <c r="A612" s="81">
        <f t="shared" si="9"/>
        <v>611</v>
      </c>
      <c r="B612" s="82" t="s">
        <v>1463</v>
      </c>
      <c r="C612" s="83" t="s">
        <v>34</v>
      </c>
      <c r="D612" s="83" t="s">
        <v>35</v>
      </c>
      <c r="E612" s="84">
        <v>100</v>
      </c>
      <c r="F612" s="85">
        <v>48.88</v>
      </c>
      <c r="G612" s="83" t="s">
        <v>885</v>
      </c>
      <c r="H612" s="83" t="s">
        <v>1360</v>
      </c>
      <c r="I612" s="85">
        <f>Planejamento2024[[#This Row],[Qnt de Itens]]*Planejamento2024[[#This Row],[Valor unitário]]</f>
        <v>4888</v>
      </c>
      <c r="J612" s="83" t="s">
        <v>20</v>
      </c>
      <c r="K612" s="83" t="s">
        <v>478</v>
      </c>
      <c r="L612" s="86">
        <v>45292</v>
      </c>
      <c r="M612" s="83" t="s">
        <v>20</v>
      </c>
      <c r="N612" s="87" t="s">
        <v>1361</v>
      </c>
      <c r="O612" s="83" t="s">
        <v>827</v>
      </c>
    </row>
    <row r="613" spans="1:15" ht="18">
      <c r="A613" s="81">
        <f t="shared" si="9"/>
        <v>612</v>
      </c>
      <c r="B613" s="82" t="s">
        <v>1464</v>
      </c>
      <c r="C613" s="83" t="s">
        <v>34</v>
      </c>
      <c r="D613" s="83" t="s">
        <v>35</v>
      </c>
      <c r="E613" s="84">
        <v>200</v>
      </c>
      <c r="F613" s="85">
        <v>59.84</v>
      </c>
      <c r="G613" s="83" t="s">
        <v>885</v>
      </c>
      <c r="H613" s="83" t="s">
        <v>1360</v>
      </c>
      <c r="I613" s="85">
        <f>Planejamento2024[[#This Row],[Qnt de Itens]]*Planejamento2024[[#This Row],[Valor unitário]]</f>
        <v>11968</v>
      </c>
      <c r="J613" s="83" t="s">
        <v>20</v>
      </c>
      <c r="K613" s="83" t="s">
        <v>478</v>
      </c>
      <c r="L613" s="86">
        <v>45292</v>
      </c>
      <c r="M613" s="83" t="s">
        <v>20</v>
      </c>
      <c r="N613" s="87" t="s">
        <v>1361</v>
      </c>
      <c r="O613" s="83" t="s">
        <v>827</v>
      </c>
    </row>
    <row r="614" spans="1:15" ht="36">
      <c r="A614" s="81">
        <f t="shared" si="9"/>
        <v>613</v>
      </c>
      <c r="B614" s="82" t="s">
        <v>1465</v>
      </c>
      <c r="C614" s="83" t="s">
        <v>34</v>
      </c>
      <c r="D614" s="83" t="s">
        <v>35</v>
      </c>
      <c r="E614" s="84">
        <v>50</v>
      </c>
      <c r="F614" s="85">
        <v>45.16</v>
      </c>
      <c r="G614" s="83" t="s">
        <v>885</v>
      </c>
      <c r="H614" s="83" t="s">
        <v>1360</v>
      </c>
      <c r="I614" s="85">
        <f>Planejamento2024[[#This Row],[Qnt de Itens]]*Planejamento2024[[#This Row],[Valor unitário]]</f>
        <v>2258</v>
      </c>
      <c r="J614" s="83" t="s">
        <v>20</v>
      </c>
      <c r="K614" s="83" t="s">
        <v>478</v>
      </c>
      <c r="L614" s="86">
        <v>45292</v>
      </c>
      <c r="M614" s="83" t="s">
        <v>20</v>
      </c>
      <c r="N614" s="87" t="s">
        <v>1361</v>
      </c>
      <c r="O614" s="83" t="s">
        <v>827</v>
      </c>
    </row>
    <row r="615" spans="1:15" ht="27">
      <c r="A615" s="81">
        <f t="shared" si="9"/>
        <v>614</v>
      </c>
      <c r="B615" s="82" t="s">
        <v>1466</v>
      </c>
      <c r="C615" s="83" t="s">
        <v>34</v>
      </c>
      <c r="D615" s="83" t="s">
        <v>35</v>
      </c>
      <c r="E615" s="84">
        <v>100</v>
      </c>
      <c r="F615" s="85">
        <v>109.86</v>
      </c>
      <c r="G615" s="83" t="s">
        <v>885</v>
      </c>
      <c r="H615" s="83" t="s">
        <v>1360</v>
      </c>
      <c r="I615" s="85">
        <f>Planejamento2024[[#This Row],[Qnt de Itens]]*Planejamento2024[[#This Row],[Valor unitário]]</f>
        <v>10986</v>
      </c>
      <c r="J615" s="83" t="s">
        <v>20</v>
      </c>
      <c r="K615" s="83" t="s">
        <v>478</v>
      </c>
      <c r="L615" s="86">
        <v>45292</v>
      </c>
      <c r="M615" s="83" t="s">
        <v>20</v>
      </c>
      <c r="N615" s="87" t="s">
        <v>1361</v>
      </c>
      <c r="O615" s="83" t="s">
        <v>827</v>
      </c>
    </row>
    <row r="616" spans="1:15" ht="18">
      <c r="A616" s="81">
        <f t="shared" si="9"/>
        <v>615</v>
      </c>
      <c r="B616" s="82" t="s">
        <v>1467</v>
      </c>
      <c r="C616" s="83" t="s">
        <v>34</v>
      </c>
      <c r="D616" s="83" t="s">
        <v>35</v>
      </c>
      <c r="E616" s="84">
        <v>100</v>
      </c>
      <c r="F616" s="85">
        <v>65.849999999999994</v>
      </c>
      <c r="G616" s="83" t="s">
        <v>885</v>
      </c>
      <c r="H616" s="83" t="s">
        <v>1360</v>
      </c>
      <c r="I616" s="85">
        <f>Planejamento2024[[#This Row],[Qnt de Itens]]*Planejamento2024[[#This Row],[Valor unitário]]</f>
        <v>6584.9999999999991</v>
      </c>
      <c r="J616" s="83" t="s">
        <v>20</v>
      </c>
      <c r="K616" s="83" t="s">
        <v>478</v>
      </c>
      <c r="L616" s="86">
        <v>45292</v>
      </c>
      <c r="M616" s="83" t="s">
        <v>20</v>
      </c>
      <c r="N616" s="87" t="s">
        <v>1361</v>
      </c>
      <c r="O616" s="83" t="s">
        <v>827</v>
      </c>
    </row>
    <row r="617" spans="1:15" ht="18">
      <c r="A617" s="81">
        <f t="shared" si="9"/>
        <v>616</v>
      </c>
      <c r="B617" s="82" t="s">
        <v>1468</v>
      </c>
      <c r="C617" s="83" t="s">
        <v>34</v>
      </c>
      <c r="D617" s="83" t="s">
        <v>35</v>
      </c>
      <c r="E617" s="84">
        <v>100</v>
      </c>
      <c r="F617" s="85">
        <v>56.5</v>
      </c>
      <c r="G617" s="83" t="s">
        <v>885</v>
      </c>
      <c r="H617" s="83" t="s">
        <v>1360</v>
      </c>
      <c r="I617" s="85">
        <f>Planejamento2024[[#This Row],[Qnt de Itens]]*Planejamento2024[[#This Row],[Valor unitário]]</f>
        <v>5650</v>
      </c>
      <c r="J617" s="83" t="s">
        <v>20</v>
      </c>
      <c r="K617" s="83" t="s">
        <v>478</v>
      </c>
      <c r="L617" s="86">
        <v>45292</v>
      </c>
      <c r="M617" s="83" t="s">
        <v>20</v>
      </c>
      <c r="N617" s="87" t="s">
        <v>1361</v>
      </c>
      <c r="O617" s="83" t="s">
        <v>827</v>
      </c>
    </row>
    <row r="618" spans="1:15" ht="36">
      <c r="A618" s="81">
        <f t="shared" si="9"/>
        <v>617</v>
      </c>
      <c r="B618" s="82" t="s">
        <v>1469</v>
      </c>
      <c r="C618" s="83" t="s">
        <v>34</v>
      </c>
      <c r="D618" s="83" t="s">
        <v>35</v>
      </c>
      <c r="E618" s="84">
        <v>100</v>
      </c>
      <c r="F618" s="85">
        <v>29.81</v>
      </c>
      <c r="G618" s="83" t="s">
        <v>885</v>
      </c>
      <c r="H618" s="83" t="s">
        <v>1360</v>
      </c>
      <c r="I618" s="85">
        <f>Planejamento2024[[#This Row],[Qnt de Itens]]*Planejamento2024[[#This Row],[Valor unitário]]</f>
        <v>2981</v>
      </c>
      <c r="J618" s="83" t="s">
        <v>20</v>
      </c>
      <c r="K618" s="83" t="s">
        <v>478</v>
      </c>
      <c r="L618" s="86">
        <v>45292</v>
      </c>
      <c r="M618" s="83" t="s">
        <v>20</v>
      </c>
      <c r="N618" s="87" t="s">
        <v>1361</v>
      </c>
      <c r="O618" s="83" t="s">
        <v>827</v>
      </c>
    </row>
    <row r="619" spans="1:15" ht="36">
      <c r="A619" s="81">
        <f t="shared" si="9"/>
        <v>618</v>
      </c>
      <c r="B619" s="82" t="s">
        <v>1470</v>
      </c>
      <c r="C619" s="83" t="s">
        <v>34</v>
      </c>
      <c r="D619" s="83" t="s">
        <v>35</v>
      </c>
      <c r="E619" s="84">
        <v>200</v>
      </c>
      <c r="F619" s="85">
        <v>14.76</v>
      </c>
      <c r="G619" s="83" t="s">
        <v>885</v>
      </c>
      <c r="H619" s="83" t="s">
        <v>1360</v>
      </c>
      <c r="I619" s="85">
        <f>Planejamento2024[[#This Row],[Qnt de Itens]]*Planejamento2024[[#This Row],[Valor unitário]]</f>
        <v>2952</v>
      </c>
      <c r="J619" s="83" t="s">
        <v>20</v>
      </c>
      <c r="K619" s="83" t="s">
        <v>478</v>
      </c>
      <c r="L619" s="86">
        <v>45292</v>
      </c>
      <c r="M619" s="83" t="s">
        <v>20</v>
      </c>
      <c r="N619" s="87" t="s">
        <v>1361</v>
      </c>
      <c r="O619" s="83" t="s">
        <v>827</v>
      </c>
    </row>
    <row r="620" spans="1:15" ht="63">
      <c r="A620" s="81">
        <f t="shared" si="9"/>
        <v>619</v>
      </c>
      <c r="B620" s="82" t="s">
        <v>1471</v>
      </c>
      <c r="C620" s="83" t="s">
        <v>34</v>
      </c>
      <c r="D620" s="83" t="s">
        <v>35</v>
      </c>
      <c r="E620" s="84">
        <v>2</v>
      </c>
      <c r="F620" s="85">
        <v>1239.3900000000001</v>
      </c>
      <c r="G620" s="83" t="s">
        <v>885</v>
      </c>
      <c r="H620" s="83" t="s">
        <v>1360</v>
      </c>
      <c r="I620" s="85">
        <f>Planejamento2024[[#This Row],[Qnt de Itens]]*Planejamento2024[[#This Row],[Valor unitário]]</f>
        <v>2478.7800000000002</v>
      </c>
      <c r="J620" s="83" t="s">
        <v>20</v>
      </c>
      <c r="K620" s="83" t="s">
        <v>478</v>
      </c>
      <c r="L620" s="86">
        <v>45292</v>
      </c>
      <c r="M620" s="83" t="s">
        <v>20</v>
      </c>
      <c r="N620" s="87" t="s">
        <v>1361</v>
      </c>
      <c r="O620" s="83" t="s">
        <v>827</v>
      </c>
    </row>
    <row r="621" spans="1:15" ht="18">
      <c r="A621" s="81">
        <f t="shared" si="9"/>
        <v>620</v>
      </c>
      <c r="B621" s="82" t="s">
        <v>1472</v>
      </c>
      <c r="C621" s="83" t="s">
        <v>34</v>
      </c>
      <c r="D621" s="83" t="s">
        <v>35</v>
      </c>
      <c r="E621" s="84">
        <v>200</v>
      </c>
      <c r="F621" s="85">
        <v>31.61</v>
      </c>
      <c r="G621" s="83" t="s">
        <v>885</v>
      </c>
      <c r="H621" s="83" t="s">
        <v>1360</v>
      </c>
      <c r="I621" s="85">
        <f>Planejamento2024[[#This Row],[Qnt de Itens]]*Planejamento2024[[#This Row],[Valor unitário]]</f>
        <v>6322</v>
      </c>
      <c r="J621" s="83" t="s">
        <v>20</v>
      </c>
      <c r="K621" s="83" t="s">
        <v>478</v>
      </c>
      <c r="L621" s="86">
        <v>45292</v>
      </c>
      <c r="M621" s="83" t="s">
        <v>20</v>
      </c>
      <c r="N621" s="87" t="s">
        <v>1361</v>
      </c>
      <c r="O621" s="83" t="s">
        <v>827</v>
      </c>
    </row>
    <row r="622" spans="1:15" ht="18">
      <c r="A622" s="81">
        <f t="shared" si="9"/>
        <v>621</v>
      </c>
      <c r="B622" s="82" t="s">
        <v>1473</v>
      </c>
      <c r="C622" s="83" t="s">
        <v>34</v>
      </c>
      <c r="D622" s="83" t="s">
        <v>35</v>
      </c>
      <c r="E622" s="84">
        <v>200</v>
      </c>
      <c r="F622" s="85">
        <v>37.24</v>
      </c>
      <c r="G622" s="83" t="s">
        <v>885</v>
      </c>
      <c r="H622" s="83" t="s">
        <v>1360</v>
      </c>
      <c r="I622" s="85">
        <f>Planejamento2024[[#This Row],[Qnt de Itens]]*Planejamento2024[[#This Row],[Valor unitário]]</f>
        <v>7448</v>
      </c>
      <c r="J622" s="83" t="s">
        <v>20</v>
      </c>
      <c r="K622" s="83" t="s">
        <v>478</v>
      </c>
      <c r="L622" s="86">
        <v>45292</v>
      </c>
      <c r="M622" s="83" t="s">
        <v>20</v>
      </c>
      <c r="N622" s="87" t="s">
        <v>1361</v>
      </c>
      <c r="O622" s="83" t="s">
        <v>827</v>
      </c>
    </row>
    <row r="623" spans="1:15" ht="18">
      <c r="A623" s="81">
        <f t="shared" si="9"/>
        <v>622</v>
      </c>
      <c r="B623" s="82" t="s">
        <v>1474</v>
      </c>
      <c r="C623" s="83" t="s">
        <v>34</v>
      </c>
      <c r="D623" s="83" t="s">
        <v>35</v>
      </c>
      <c r="E623" s="84">
        <v>200</v>
      </c>
      <c r="F623" s="85">
        <v>53.11</v>
      </c>
      <c r="G623" s="83" t="s">
        <v>885</v>
      </c>
      <c r="H623" s="83" t="s">
        <v>1360</v>
      </c>
      <c r="I623" s="85">
        <f>Planejamento2024[[#This Row],[Qnt de Itens]]*Planejamento2024[[#This Row],[Valor unitário]]</f>
        <v>10622</v>
      </c>
      <c r="J623" s="83" t="s">
        <v>20</v>
      </c>
      <c r="K623" s="83" t="s">
        <v>478</v>
      </c>
      <c r="L623" s="86">
        <v>45292</v>
      </c>
      <c r="M623" s="83" t="s">
        <v>20</v>
      </c>
      <c r="N623" s="87" t="s">
        <v>1361</v>
      </c>
      <c r="O623" s="83" t="s">
        <v>827</v>
      </c>
    </row>
    <row r="624" spans="1:15" ht="36">
      <c r="A624" s="81">
        <f t="shared" si="9"/>
        <v>623</v>
      </c>
      <c r="B624" s="82" t="s">
        <v>1475</v>
      </c>
      <c r="C624" s="83" t="s">
        <v>34</v>
      </c>
      <c r="D624" s="83" t="s">
        <v>35</v>
      </c>
      <c r="E624" s="84">
        <v>100</v>
      </c>
      <c r="F624" s="85">
        <v>808.51</v>
      </c>
      <c r="G624" s="83" t="s">
        <v>885</v>
      </c>
      <c r="H624" s="83" t="s">
        <v>1360</v>
      </c>
      <c r="I624" s="85">
        <f>Planejamento2024[[#This Row],[Qnt de Itens]]*Planejamento2024[[#This Row],[Valor unitário]]</f>
        <v>80851</v>
      </c>
      <c r="J624" s="83" t="s">
        <v>20</v>
      </c>
      <c r="K624" s="83" t="s">
        <v>478</v>
      </c>
      <c r="L624" s="86">
        <v>45292</v>
      </c>
      <c r="M624" s="83" t="s">
        <v>20</v>
      </c>
      <c r="N624" s="87" t="s">
        <v>1361</v>
      </c>
      <c r="O624" s="83" t="s">
        <v>827</v>
      </c>
    </row>
    <row r="625" spans="1:15" ht="36">
      <c r="A625" s="81">
        <f t="shared" si="9"/>
        <v>624</v>
      </c>
      <c r="B625" s="82" t="s">
        <v>1476</v>
      </c>
      <c r="C625" s="83" t="s">
        <v>34</v>
      </c>
      <c r="D625" s="83" t="s">
        <v>35</v>
      </c>
      <c r="E625" s="84">
        <v>100</v>
      </c>
      <c r="F625" s="85">
        <v>394.06</v>
      </c>
      <c r="G625" s="83" t="s">
        <v>885</v>
      </c>
      <c r="H625" s="83" t="s">
        <v>1360</v>
      </c>
      <c r="I625" s="85">
        <f>Planejamento2024[[#This Row],[Qnt de Itens]]*Planejamento2024[[#This Row],[Valor unitário]]</f>
        <v>39406</v>
      </c>
      <c r="J625" s="83" t="s">
        <v>20</v>
      </c>
      <c r="K625" s="83" t="s">
        <v>478</v>
      </c>
      <c r="L625" s="86">
        <v>45292</v>
      </c>
      <c r="M625" s="83" t="s">
        <v>20</v>
      </c>
      <c r="N625" s="87" t="s">
        <v>1361</v>
      </c>
      <c r="O625" s="83" t="s">
        <v>827</v>
      </c>
    </row>
    <row r="626" spans="1:15" ht="27">
      <c r="A626" s="81">
        <f t="shared" si="9"/>
        <v>625</v>
      </c>
      <c r="B626" s="82" t="s">
        <v>1477</v>
      </c>
      <c r="C626" s="83" t="s">
        <v>34</v>
      </c>
      <c r="D626" s="83" t="s">
        <v>35</v>
      </c>
      <c r="E626" s="84">
        <v>200</v>
      </c>
      <c r="F626" s="85">
        <v>353.03</v>
      </c>
      <c r="G626" s="83" t="s">
        <v>885</v>
      </c>
      <c r="H626" s="83" t="s">
        <v>1360</v>
      </c>
      <c r="I626" s="85">
        <f>Planejamento2024[[#This Row],[Qnt de Itens]]*Planejamento2024[[#This Row],[Valor unitário]]</f>
        <v>70606</v>
      </c>
      <c r="J626" s="83" t="s">
        <v>20</v>
      </c>
      <c r="K626" s="83" t="s">
        <v>478</v>
      </c>
      <c r="L626" s="86">
        <v>45292</v>
      </c>
      <c r="M626" s="83" t="s">
        <v>20</v>
      </c>
      <c r="N626" s="87" t="s">
        <v>1361</v>
      </c>
      <c r="O626" s="83" t="s">
        <v>827</v>
      </c>
    </row>
    <row r="627" spans="1:15" ht="63">
      <c r="A627" s="81">
        <f t="shared" si="9"/>
        <v>626</v>
      </c>
      <c r="B627" s="82" t="s">
        <v>1478</v>
      </c>
      <c r="C627" s="83" t="s">
        <v>34</v>
      </c>
      <c r="D627" s="83" t="s">
        <v>35</v>
      </c>
      <c r="E627" s="84">
        <v>50</v>
      </c>
      <c r="F627" s="85">
        <v>164.71</v>
      </c>
      <c r="G627" s="83" t="s">
        <v>885</v>
      </c>
      <c r="H627" s="83" t="s">
        <v>1360</v>
      </c>
      <c r="I627" s="85">
        <f>Planejamento2024[[#This Row],[Qnt de Itens]]*Planejamento2024[[#This Row],[Valor unitário]]</f>
        <v>8235.5</v>
      </c>
      <c r="J627" s="83" t="s">
        <v>20</v>
      </c>
      <c r="K627" s="83" t="s">
        <v>478</v>
      </c>
      <c r="L627" s="86">
        <v>45292</v>
      </c>
      <c r="M627" s="83" t="s">
        <v>20</v>
      </c>
      <c r="N627" s="87" t="s">
        <v>1361</v>
      </c>
      <c r="O627" s="83" t="s">
        <v>827</v>
      </c>
    </row>
    <row r="628" spans="1:15" ht="63">
      <c r="A628" s="81">
        <f t="shared" si="9"/>
        <v>627</v>
      </c>
      <c r="B628" s="82" t="s">
        <v>1479</v>
      </c>
      <c r="C628" s="83" t="s">
        <v>34</v>
      </c>
      <c r="D628" s="83" t="s">
        <v>35</v>
      </c>
      <c r="E628" s="84">
        <v>50</v>
      </c>
      <c r="F628" s="85">
        <v>66.69</v>
      </c>
      <c r="G628" s="83" t="s">
        <v>885</v>
      </c>
      <c r="H628" s="83" t="s">
        <v>1360</v>
      </c>
      <c r="I628" s="85">
        <f>Planejamento2024[[#This Row],[Qnt de Itens]]*Planejamento2024[[#This Row],[Valor unitário]]</f>
        <v>3334.5</v>
      </c>
      <c r="J628" s="83" t="s">
        <v>20</v>
      </c>
      <c r="K628" s="83" t="s">
        <v>478</v>
      </c>
      <c r="L628" s="86">
        <v>45292</v>
      </c>
      <c r="M628" s="83" t="s">
        <v>20</v>
      </c>
      <c r="N628" s="87" t="s">
        <v>1361</v>
      </c>
      <c r="O628" s="83" t="s">
        <v>827</v>
      </c>
    </row>
    <row r="629" spans="1:15" ht="18">
      <c r="A629" s="81">
        <f t="shared" si="9"/>
        <v>628</v>
      </c>
      <c r="B629" s="82" t="s">
        <v>1480</v>
      </c>
      <c r="C629" s="83" t="s">
        <v>34</v>
      </c>
      <c r="D629" s="83" t="s">
        <v>35</v>
      </c>
      <c r="E629" s="84">
        <v>200</v>
      </c>
      <c r="F629" s="85">
        <v>72.599999999999994</v>
      </c>
      <c r="G629" s="83" t="s">
        <v>885</v>
      </c>
      <c r="H629" s="83" t="s">
        <v>1360</v>
      </c>
      <c r="I629" s="85">
        <f>Planejamento2024[[#This Row],[Qnt de Itens]]*Planejamento2024[[#This Row],[Valor unitário]]</f>
        <v>14519.999999999998</v>
      </c>
      <c r="J629" s="83" t="s">
        <v>20</v>
      </c>
      <c r="K629" s="83" t="s">
        <v>478</v>
      </c>
      <c r="L629" s="86">
        <v>45292</v>
      </c>
      <c r="M629" s="83" t="s">
        <v>20</v>
      </c>
      <c r="N629" s="87" t="s">
        <v>1361</v>
      </c>
      <c r="O629" s="83" t="s">
        <v>827</v>
      </c>
    </row>
    <row r="630" spans="1:15" ht="18">
      <c r="A630" s="81">
        <f t="shared" si="9"/>
        <v>629</v>
      </c>
      <c r="B630" s="82" t="s">
        <v>1481</v>
      </c>
      <c r="C630" s="83" t="s">
        <v>34</v>
      </c>
      <c r="D630" s="83" t="s">
        <v>35</v>
      </c>
      <c r="E630" s="84">
        <v>50</v>
      </c>
      <c r="F630" s="85">
        <v>3.31</v>
      </c>
      <c r="G630" s="83" t="s">
        <v>885</v>
      </c>
      <c r="H630" s="83" t="s">
        <v>1360</v>
      </c>
      <c r="I630" s="85">
        <f>Planejamento2024[[#This Row],[Qnt de Itens]]*Planejamento2024[[#This Row],[Valor unitário]]</f>
        <v>165.5</v>
      </c>
      <c r="J630" s="83" t="s">
        <v>20</v>
      </c>
      <c r="K630" s="83" t="s">
        <v>478</v>
      </c>
      <c r="L630" s="86">
        <v>45292</v>
      </c>
      <c r="M630" s="83" t="s">
        <v>20</v>
      </c>
      <c r="N630" s="87" t="s">
        <v>1361</v>
      </c>
      <c r="O630" s="83" t="s">
        <v>827</v>
      </c>
    </row>
    <row r="631" spans="1:15" ht="27">
      <c r="A631" s="81">
        <f t="shared" si="9"/>
        <v>630</v>
      </c>
      <c r="B631" s="82" t="s">
        <v>1482</v>
      </c>
      <c r="C631" s="83" t="s">
        <v>34</v>
      </c>
      <c r="D631" s="83" t="s">
        <v>35</v>
      </c>
      <c r="E631" s="84">
        <v>200</v>
      </c>
      <c r="F631" s="85">
        <v>94.01</v>
      </c>
      <c r="G631" s="83" t="s">
        <v>885</v>
      </c>
      <c r="H631" s="83" t="s">
        <v>1360</v>
      </c>
      <c r="I631" s="85">
        <f>Planejamento2024[[#This Row],[Qnt de Itens]]*Planejamento2024[[#This Row],[Valor unitário]]</f>
        <v>18802</v>
      </c>
      <c r="J631" s="83" t="s">
        <v>20</v>
      </c>
      <c r="K631" s="83" t="s">
        <v>478</v>
      </c>
      <c r="L631" s="86">
        <v>45292</v>
      </c>
      <c r="M631" s="83" t="s">
        <v>20</v>
      </c>
      <c r="N631" s="87" t="s">
        <v>1361</v>
      </c>
      <c r="O631" s="83" t="s">
        <v>827</v>
      </c>
    </row>
    <row r="632" spans="1:15" ht="27">
      <c r="A632" s="81">
        <f t="shared" si="9"/>
        <v>631</v>
      </c>
      <c r="B632" s="82" t="s">
        <v>1483</v>
      </c>
      <c r="C632" s="83" t="s">
        <v>34</v>
      </c>
      <c r="D632" s="83" t="s">
        <v>35</v>
      </c>
      <c r="E632" s="84">
        <v>200</v>
      </c>
      <c r="F632" s="85">
        <v>103.72</v>
      </c>
      <c r="G632" s="83" t="s">
        <v>885</v>
      </c>
      <c r="H632" s="83" t="s">
        <v>1360</v>
      </c>
      <c r="I632" s="85">
        <f>Planejamento2024[[#This Row],[Qnt de Itens]]*Planejamento2024[[#This Row],[Valor unitário]]</f>
        <v>20744</v>
      </c>
      <c r="J632" s="83" t="s">
        <v>20</v>
      </c>
      <c r="K632" s="83" t="s">
        <v>478</v>
      </c>
      <c r="L632" s="86">
        <v>45292</v>
      </c>
      <c r="M632" s="83" t="s">
        <v>20</v>
      </c>
      <c r="N632" s="87" t="s">
        <v>1361</v>
      </c>
      <c r="O632" s="83" t="s">
        <v>827</v>
      </c>
    </row>
    <row r="633" spans="1:15" ht="18">
      <c r="A633" s="81">
        <f t="shared" si="9"/>
        <v>632</v>
      </c>
      <c r="B633" s="82" t="s">
        <v>1484</v>
      </c>
      <c r="C633" s="83" t="s">
        <v>34</v>
      </c>
      <c r="D633" s="83" t="s">
        <v>35</v>
      </c>
      <c r="E633" s="84">
        <v>500</v>
      </c>
      <c r="F633" s="85">
        <v>32.96</v>
      </c>
      <c r="G633" s="83" t="s">
        <v>885</v>
      </c>
      <c r="H633" s="83" t="s">
        <v>1360</v>
      </c>
      <c r="I633" s="85">
        <f>Planejamento2024[[#This Row],[Qnt de Itens]]*Planejamento2024[[#This Row],[Valor unitário]]</f>
        <v>16480</v>
      </c>
      <c r="J633" s="83" t="s">
        <v>20</v>
      </c>
      <c r="K633" s="83" t="s">
        <v>478</v>
      </c>
      <c r="L633" s="86">
        <v>45292</v>
      </c>
      <c r="M633" s="83" t="s">
        <v>20</v>
      </c>
      <c r="N633" s="87" t="s">
        <v>1361</v>
      </c>
      <c r="O633" s="83" t="s">
        <v>827</v>
      </c>
    </row>
    <row r="634" spans="1:15" ht="36">
      <c r="A634" s="81">
        <f t="shared" si="9"/>
        <v>633</v>
      </c>
      <c r="B634" s="82" t="s">
        <v>1485</v>
      </c>
      <c r="C634" s="83" t="s">
        <v>34</v>
      </c>
      <c r="D634" s="83" t="s">
        <v>35</v>
      </c>
      <c r="E634" s="84">
        <v>100</v>
      </c>
      <c r="F634" s="85">
        <v>26.39</v>
      </c>
      <c r="G634" s="83" t="s">
        <v>885</v>
      </c>
      <c r="H634" s="83" t="s">
        <v>1360</v>
      </c>
      <c r="I634" s="85">
        <f>Planejamento2024[[#This Row],[Qnt de Itens]]*Planejamento2024[[#This Row],[Valor unitário]]</f>
        <v>2639</v>
      </c>
      <c r="J634" s="83" t="s">
        <v>20</v>
      </c>
      <c r="K634" s="83" t="s">
        <v>478</v>
      </c>
      <c r="L634" s="86">
        <v>45292</v>
      </c>
      <c r="M634" s="83" t="s">
        <v>20</v>
      </c>
      <c r="N634" s="87" t="s">
        <v>1361</v>
      </c>
      <c r="O634" s="83" t="s">
        <v>827</v>
      </c>
    </row>
    <row r="635" spans="1:15" ht="54">
      <c r="A635" s="81">
        <f t="shared" si="9"/>
        <v>634</v>
      </c>
      <c r="B635" s="82" t="s">
        <v>1486</v>
      </c>
      <c r="C635" s="83" t="s">
        <v>34</v>
      </c>
      <c r="D635" s="83" t="s">
        <v>35</v>
      </c>
      <c r="E635" s="84">
        <v>100</v>
      </c>
      <c r="F635" s="85">
        <v>494.1</v>
      </c>
      <c r="G635" s="83" t="s">
        <v>885</v>
      </c>
      <c r="H635" s="83" t="s">
        <v>1360</v>
      </c>
      <c r="I635" s="85">
        <f>Planejamento2024[[#This Row],[Qnt de Itens]]*Planejamento2024[[#This Row],[Valor unitário]]</f>
        <v>49410</v>
      </c>
      <c r="J635" s="83" t="s">
        <v>20</v>
      </c>
      <c r="K635" s="83" t="s">
        <v>478</v>
      </c>
      <c r="L635" s="86">
        <v>45292</v>
      </c>
      <c r="M635" s="83" t="s">
        <v>20</v>
      </c>
      <c r="N635" s="87" t="s">
        <v>1361</v>
      </c>
      <c r="O635" s="83" t="s">
        <v>827</v>
      </c>
    </row>
    <row r="636" spans="1:15" ht="45">
      <c r="A636" s="81">
        <f t="shared" si="9"/>
        <v>635</v>
      </c>
      <c r="B636" s="82" t="s">
        <v>1487</v>
      </c>
      <c r="C636" s="83" t="s">
        <v>34</v>
      </c>
      <c r="D636" s="83" t="s">
        <v>35</v>
      </c>
      <c r="E636" s="84">
        <v>100</v>
      </c>
      <c r="F636" s="85">
        <v>49.25</v>
      </c>
      <c r="G636" s="83" t="s">
        <v>885</v>
      </c>
      <c r="H636" s="83" t="s">
        <v>1360</v>
      </c>
      <c r="I636" s="85">
        <f>Planejamento2024[[#This Row],[Qnt de Itens]]*Planejamento2024[[#This Row],[Valor unitário]]</f>
        <v>4925</v>
      </c>
      <c r="J636" s="83" t="s">
        <v>20</v>
      </c>
      <c r="K636" s="83" t="s">
        <v>478</v>
      </c>
      <c r="L636" s="86">
        <v>45292</v>
      </c>
      <c r="M636" s="83" t="s">
        <v>20</v>
      </c>
      <c r="N636" s="87" t="s">
        <v>1361</v>
      </c>
      <c r="O636" s="83" t="s">
        <v>827</v>
      </c>
    </row>
    <row r="637" spans="1:15" ht="27">
      <c r="A637" s="81">
        <f t="shared" si="9"/>
        <v>636</v>
      </c>
      <c r="B637" s="82" t="s">
        <v>1488</v>
      </c>
      <c r="C637" s="83" t="s">
        <v>34</v>
      </c>
      <c r="D637" s="83" t="s">
        <v>35</v>
      </c>
      <c r="E637" s="84">
        <v>100</v>
      </c>
      <c r="F637" s="85">
        <v>613.91</v>
      </c>
      <c r="G637" s="83" t="s">
        <v>885</v>
      </c>
      <c r="H637" s="83" t="s">
        <v>1360</v>
      </c>
      <c r="I637" s="85">
        <f>Planejamento2024[[#This Row],[Qnt de Itens]]*Planejamento2024[[#This Row],[Valor unitário]]</f>
        <v>61391</v>
      </c>
      <c r="J637" s="83" t="s">
        <v>20</v>
      </c>
      <c r="K637" s="83" t="s">
        <v>478</v>
      </c>
      <c r="L637" s="86">
        <v>45292</v>
      </c>
      <c r="M637" s="83" t="s">
        <v>20</v>
      </c>
      <c r="N637" s="87" t="s">
        <v>1361</v>
      </c>
      <c r="O637" s="83" t="s">
        <v>827</v>
      </c>
    </row>
    <row r="638" spans="1:15" ht="45">
      <c r="A638" s="81">
        <f t="shared" si="9"/>
        <v>637</v>
      </c>
      <c r="B638" s="82" t="s">
        <v>1489</v>
      </c>
      <c r="C638" s="83" t="s">
        <v>34</v>
      </c>
      <c r="D638" s="83" t="s">
        <v>35</v>
      </c>
      <c r="E638" s="84">
        <v>500</v>
      </c>
      <c r="F638" s="85">
        <v>13.41</v>
      </c>
      <c r="G638" s="83" t="s">
        <v>885</v>
      </c>
      <c r="H638" s="83" t="s">
        <v>1360</v>
      </c>
      <c r="I638" s="85">
        <f>Planejamento2024[[#This Row],[Qnt de Itens]]*Planejamento2024[[#This Row],[Valor unitário]]</f>
        <v>6705</v>
      </c>
      <c r="J638" s="83" t="s">
        <v>20</v>
      </c>
      <c r="K638" s="83" t="s">
        <v>478</v>
      </c>
      <c r="L638" s="86">
        <v>45292</v>
      </c>
      <c r="M638" s="83" t="s">
        <v>20</v>
      </c>
      <c r="N638" s="87" t="s">
        <v>1361</v>
      </c>
      <c r="O638" s="83" t="s">
        <v>827</v>
      </c>
    </row>
    <row r="639" spans="1:15" ht="18">
      <c r="A639" s="81">
        <f t="shared" si="9"/>
        <v>638</v>
      </c>
      <c r="B639" s="82" t="s">
        <v>1490</v>
      </c>
      <c r="C639" s="83" t="s">
        <v>34</v>
      </c>
      <c r="D639" s="83" t="s">
        <v>35</v>
      </c>
      <c r="E639" s="84">
        <v>200</v>
      </c>
      <c r="F639" s="85">
        <v>44.66</v>
      </c>
      <c r="G639" s="83" t="s">
        <v>885</v>
      </c>
      <c r="H639" s="83" t="s">
        <v>1360</v>
      </c>
      <c r="I639" s="85">
        <f>Planejamento2024[[#This Row],[Qnt de Itens]]*Planejamento2024[[#This Row],[Valor unitário]]</f>
        <v>8932</v>
      </c>
      <c r="J639" s="83" t="s">
        <v>20</v>
      </c>
      <c r="K639" s="83" t="s">
        <v>478</v>
      </c>
      <c r="L639" s="86">
        <v>45292</v>
      </c>
      <c r="M639" s="83" t="s">
        <v>20</v>
      </c>
      <c r="N639" s="87" t="s">
        <v>1361</v>
      </c>
      <c r="O639" s="83" t="s">
        <v>827</v>
      </c>
    </row>
    <row r="640" spans="1:15" ht="27">
      <c r="A640" s="81">
        <f t="shared" si="9"/>
        <v>639</v>
      </c>
      <c r="B640" s="82" t="s">
        <v>1491</v>
      </c>
      <c r="C640" s="83" t="s">
        <v>34</v>
      </c>
      <c r="D640" s="83" t="s">
        <v>35</v>
      </c>
      <c r="E640" s="84">
        <v>200</v>
      </c>
      <c r="F640" s="85">
        <v>55.43</v>
      </c>
      <c r="G640" s="83" t="s">
        <v>885</v>
      </c>
      <c r="H640" s="83" t="s">
        <v>1360</v>
      </c>
      <c r="I640" s="85">
        <f>Planejamento2024[[#This Row],[Qnt de Itens]]*Planejamento2024[[#This Row],[Valor unitário]]</f>
        <v>11086</v>
      </c>
      <c r="J640" s="83" t="s">
        <v>20</v>
      </c>
      <c r="K640" s="83" t="s">
        <v>478</v>
      </c>
      <c r="L640" s="86">
        <v>45292</v>
      </c>
      <c r="M640" s="83" t="s">
        <v>20</v>
      </c>
      <c r="N640" s="87" t="s">
        <v>1361</v>
      </c>
      <c r="O640" s="83" t="s">
        <v>827</v>
      </c>
    </row>
    <row r="641" spans="1:15" ht="27">
      <c r="A641" s="81">
        <f t="shared" si="9"/>
        <v>640</v>
      </c>
      <c r="B641" s="82" t="s">
        <v>1492</v>
      </c>
      <c r="C641" s="83" t="s">
        <v>34</v>
      </c>
      <c r="D641" s="83" t="s">
        <v>35</v>
      </c>
      <c r="E641" s="84">
        <v>200</v>
      </c>
      <c r="F641" s="85">
        <v>117.07</v>
      </c>
      <c r="G641" s="83" t="s">
        <v>885</v>
      </c>
      <c r="H641" s="83" t="s">
        <v>1360</v>
      </c>
      <c r="I641" s="85">
        <f>Planejamento2024[[#This Row],[Qnt de Itens]]*Planejamento2024[[#This Row],[Valor unitário]]</f>
        <v>23414</v>
      </c>
      <c r="J641" s="83" t="s">
        <v>20</v>
      </c>
      <c r="K641" s="83" t="s">
        <v>478</v>
      </c>
      <c r="L641" s="86">
        <v>45292</v>
      </c>
      <c r="M641" s="83" t="s">
        <v>20</v>
      </c>
      <c r="N641" s="87" t="s">
        <v>1361</v>
      </c>
      <c r="O641" s="83" t="s">
        <v>827</v>
      </c>
    </row>
    <row r="642" spans="1:15" ht="45">
      <c r="A642" s="81">
        <f t="shared" ref="A642:A705" si="10">ROW(A641)</f>
        <v>641</v>
      </c>
      <c r="B642" s="82" t="s">
        <v>1493</v>
      </c>
      <c r="C642" s="83" t="s">
        <v>34</v>
      </c>
      <c r="D642" s="83" t="s">
        <v>35</v>
      </c>
      <c r="E642" s="84">
        <v>200</v>
      </c>
      <c r="F642" s="85">
        <v>90.46</v>
      </c>
      <c r="G642" s="83" t="s">
        <v>1494</v>
      </c>
      <c r="H642" s="83" t="s">
        <v>1360</v>
      </c>
      <c r="I642" s="85">
        <f>Planejamento2024[[#This Row],[Qnt de Itens]]*Planejamento2024[[#This Row],[Valor unitário]]</f>
        <v>18092</v>
      </c>
      <c r="J642" s="83" t="s">
        <v>20</v>
      </c>
      <c r="K642" s="83" t="s">
        <v>478</v>
      </c>
      <c r="L642" s="86">
        <v>45292</v>
      </c>
      <c r="M642" s="83" t="s">
        <v>20</v>
      </c>
      <c r="N642" s="87" t="s">
        <v>1361</v>
      </c>
      <c r="O642" s="83" t="s">
        <v>827</v>
      </c>
    </row>
    <row r="643" spans="1:15" ht="27">
      <c r="A643" s="81">
        <f t="shared" si="10"/>
        <v>642</v>
      </c>
      <c r="B643" s="82" t="s">
        <v>1495</v>
      </c>
      <c r="C643" s="83" t="s">
        <v>34</v>
      </c>
      <c r="D643" s="83" t="s">
        <v>35</v>
      </c>
      <c r="E643" s="84">
        <v>200</v>
      </c>
      <c r="F643" s="85">
        <v>198.93</v>
      </c>
      <c r="G643" s="83" t="s">
        <v>1496</v>
      </c>
      <c r="H643" s="83" t="s">
        <v>1360</v>
      </c>
      <c r="I643" s="85">
        <f>Planejamento2024[[#This Row],[Qnt de Itens]]*Planejamento2024[[#This Row],[Valor unitário]]</f>
        <v>39786</v>
      </c>
      <c r="J643" s="83" t="s">
        <v>20</v>
      </c>
      <c r="K643" s="83" t="s">
        <v>478</v>
      </c>
      <c r="L643" s="86">
        <v>45292</v>
      </c>
      <c r="M643" s="83" t="s">
        <v>20</v>
      </c>
      <c r="N643" s="87" t="s">
        <v>1361</v>
      </c>
      <c r="O643" s="83" t="s">
        <v>827</v>
      </c>
    </row>
    <row r="644" spans="1:15" ht="18">
      <c r="A644" s="81">
        <f t="shared" si="10"/>
        <v>643</v>
      </c>
      <c r="B644" s="82" t="s">
        <v>1497</v>
      </c>
      <c r="C644" s="83" t="s">
        <v>34</v>
      </c>
      <c r="D644" s="83" t="s">
        <v>35</v>
      </c>
      <c r="E644" s="84">
        <v>200</v>
      </c>
      <c r="F644" s="85">
        <v>140.13</v>
      </c>
      <c r="G644" s="83" t="s">
        <v>885</v>
      </c>
      <c r="H644" s="83" t="s">
        <v>1360</v>
      </c>
      <c r="I644" s="85">
        <f>Planejamento2024[[#This Row],[Qnt de Itens]]*Planejamento2024[[#This Row],[Valor unitário]]</f>
        <v>28026</v>
      </c>
      <c r="J644" s="83" t="s">
        <v>20</v>
      </c>
      <c r="K644" s="83" t="s">
        <v>478</v>
      </c>
      <c r="L644" s="86">
        <v>45292</v>
      </c>
      <c r="M644" s="83" t="s">
        <v>20</v>
      </c>
      <c r="N644" s="87" t="s">
        <v>1361</v>
      </c>
      <c r="O644" s="83" t="s">
        <v>827</v>
      </c>
    </row>
    <row r="645" spans="1:15" ht="18">
      <c r="A645" s="81">
        <f t="shared" si="10"/>
        <v>644</v>
      </c>
      <c r="B645" s="82" t="s">
        <v>1498</v>
      </c>
      <c r="C645" s="83" t="s">
        <v>34</v>
      </c>
      <c r="D645" s="83" t="s">
        <v>35</v>
      </c>
      <c r="E645" s="84">
        <v>200</v>
      </c>
      <c r="F645" s="85">
        <v>508.46</v>
      </c>
      <c r="G645" s="83" t="s">
        <v>885</v>
      </c>
      <c r="H645" s="83" t="s">
        <v>1360</v>
      </c>
      <c r="I645" s="85">
        <f>Planejamento2024[[#This Row],[Qnt de Itens]]*Planejamento2024[[#This Row],[Valor unitário]]</f>
        <v>101692</v>
      </c>
      <c r="J645" s="83" t="s">
        <v>20</v>
      </c>
      <c r="K645" s="83" t="s">
        <v>478</v>
      </c>
      <c r="L645" s="86">
        <v>45292</v>
      </c>
      <c r="M645" s="83" t="s">
        <v>20</v>
      </c>
      <c r="N645" s="87" t="s">
        <v>1361</v>
      </c>
      <c r="O645" s="83" t="s">
        <v>827</v>
      </c>
    </row>
    <row r="646" spans="1:15" ht="18">
      <c r="A646" s="81">
        <f t="shared" si="10"/>
        <v>645</v>
      </c>
      <c r="B646" s="82" t="s">
        <v>1499</v>
      </c>
      <c r="C646" s="83" t="s">
        <v>34</v>
      </c>
      <c r="D646" s="83" t="s">
        <v>35</v>
      </c>
      <c r="E646" s="84">
        <v>200</v>
      </c>
      <c r="F646" s="85">
        <v>896.93</v>
      </c>
      <c r="G646" s="83" t="s">
        <v>885</v>
      </c>
      <c r="H646" s="83" t="s">
        <v>1360</v>
      </c>
      <c r="I646" s="85">
        <f>Planejamento2024[[#This Row],[Qnt de Itens]]*Planejamento2024[[#This Row],[Valor unitário]]</f>
        <v>179386</v>
      </c>
      <c r="J646" s="83" t="s">
        <v>20</v>
      </c>
      <c r="K646" s="83" t="s">
        <v>478</v>
      </c>
      <c r="L646" s="86">
        <v>45292</v>
      </c>
      <c r="M646" s="83" t="s">
        <v>20</v>
      </c>
      <c r="N646" s="87" t="s">
        <v>1361</v>
      </c>
      <c r="O646" s="83" t="s">
        <v>827</v>
      </c>
    </row>
    <row r="647" spans="1:15" ht="27">
      <c r="A647" s="81">
        <f t="shared" si="10"/>
        <v>646</v>
      </c>
      <c r="B647" s="82" t="s">
        <v>1500</v>
      </c>
      <c r="C647" s="83" t="s">
        <v>34</v>
      </c>
      <c r="D647" s="83" t="s">
        <v>35</v>
      </c>
      <c r="E647" s="84">
        <v>300</v>
      </c>
      <c r="F647" s="85">
        <v>3.25</v>
      </c>
      <c r="G647" s="83" t="s">
        <v>885</v>
      </c>
      <c r="H647" s="83" t="s">
        <v>1360</v>
      </c>
      <c r="I647" s="85">
        <f>Planejamento2024[[#This Row],[Qnt de Itens]]*Planejamento2024[[#This Row],[Valor unitário]]</f>
        <v>975</v>
      </c>
      <c r="J647" s="83" t="s">
        <v>20</v>
      </c>
      <c r="K647" s="83" t="s">
        <v>478</v>
      </c>
      <c r="L647" s="86">
        <v>45292</v>
      </c>
      <c r="M647" s="83" t="s">
        <v>20</v>
      </c>
      <c r="N647" s="87" t="s">
        <v>1361</v>
      </c>
      <c r="O647" s="83" t="s">
        <v>827</v>
      </c>
    </row>
    <row r="648" spans="1:15" ht="27">
      <c r="A648" s="81">
        <f t="shared" si="10"/>
        <v>647</v>
      </c>
      <c r="B648" s="82" t="s">
        <v>1501</v>
      </c>
      <c r="C648" s="83" t="s">
        <v>34</v>
      </c>
      <c r="D648" s="83" t="s">
        <v>35</v>
      </c>
      <c r="E648" s="84">
        <v>300</v>
      </c>
      <c r="F648" s="85">
        <v>4.28</v>
      </c>
      <c r="G648" s="83" t="s">
        <v>885</v>
      </c>
      <c r="H648" s="83" t="s">
        <v>1360</v>
      </c>
      <c r="I648" s="85">
        <f>Planejamento2024[[#This Row],[Qnt de Itens]]*Planejamento2024[[#This Row],[Valor unitário]]</f>
        <v>1284</v>
      </c>
      <c r="J648" s="83" t="s">
        <v>20</v>
      </c>
      <c r="K648" s="83" t="s">
        <v>478</v>
      </c>
      <c r="L648" s="86">
        <v>45292</v>
      </c>
      <c r="M648" s="83" t="s">
        <v>20</v>
      </c>
      <c r="N648" s="87" t="s">
        <v>1361</v>
      </c>
      <c r="O648" s="83" t="s">
        <v>827</v>
      </c>
    </row>
    <row r="649" spans="1:15" ht="18">
      <c r="A649" s="81">
        <f t="shared" si="10"/>
        <v>648</v>
      </c>
      <c r="B649" s="82" t="s">
        <v>1502</v>
      </c>
      <c r="C649" s="83" t="s">
        <v>34</v>
      </c>
      <c r="D649" s="83" t="s">
        <v>35</v>
      </c>
      <c r="E649" s="84">
        <v>300</v>
      </c>
      <c r="F649" s="85">
        <v>2.08</v>
      </c>
      <c r="G649" s="83" t="s">
        <v>885</v>
      </c>
      <c r="H649" s="83" t="s">
        <v>1360</v>
      </c>
      <c r="I649" s="85">
        <f>Planejamento2024[[#This Row],[Qnt de Itens]]*Planejamento2024[[#This Row],[Valor unitário]]</f>
        <v>624</v>
      </c>
      <c r="J649" s="83" t="s">
        <v>20</v>
      </c>
      <c r="K649" s="83" t="s">
        <v>478</v>
      </c>
      <c r="L649" s="86">
        <v>45292</v>
      </c>
      <c r="M649" s="83" t="s">
        <v>20</v>
      </c>
      <c r="N649" s="87" t="s">
        <v>1361</v>
      </c>
      <c r="O649" s="83" t="s">
        <v>827</v>
      </c>
    </row>
    <row r="650" spans="1:15" ht="18">
      <c r="A650" s="81">
        <f t="shared" si="10"/>
        <v>649</v>
      </c>
      <c r="B650" s="82" t="s">
        <v>1503</v>
      </c>
      <c r="C650" s="83" t="s">
        <v>34</v>
      </c>
      <c r="D650" s="83" t="s">
        <v>35</v>
      </c>
      <c r="E650" s="84">
        <v>300</v>
      </c>
      <c r="F650" s="85">
        <v>2.4700000000000002</v>
      </c>
      <c r="G650" s="83" t="s">
        <v>885</v>
      </c>
      <c r="H650" s="83" t="s">
        <v>1360</v>
      </c>
      <c r="I650" s="85">
        <f>Planejamento2024[[#This Row],[Qnt de Itens]]*Planejamento2024[[#This Row],[Valor unitário]]</f>
        <v>741.00000000000011</v>
      </c>
      <c r="J650" s="83" t="s">
        <v>20</v>
      </c>
      <c r="K650" s="83" t="s">
        <v>478</v>
      </c>
      <c r="L650" s="86">
        <v>45292</v>
      </c>
      <c r="M650" s="83" t="s">
        <v>20</v>
      </c>
      <c r="N650" s="87" t="s">
        <v>1361</v>
      </c>
      <c r="O650" s="83" t="s">
        <v>827</v>
      </c>
    </row>
    <row r="651" spans="1:15" ht="36">
      <c r="A651" s="81">
        <f t="shared" si="10"/>
        <v>650</v>
      </c>
      <c r="B651" s="82" t="s">
        <v>1504</v>
      </c>
      <c r="C651" s="83" t="s">
        <v>34</v>
      </c>
      <c r="D651" s="83" t="s">
        <v>35</v>
      </c>
      <c r="E651" s="84">
        <v>100</v>
      </c>
      <c r="F651" s="85">
        <v>442.41</v>
      </c>
      <c r="G651" s="83" t="s">
        <v>885</v>
      </c>
      <c r="H651" s="83" t="s">
        <v>1360</v>
      </c>
      <c r="I651" s="85">
        <f>Planejamento2024[[#This Row],[Qnt de Itens]]*Planejamento2024[[#This Row],[Valor unitário]]</f>
        <v>44241</v>
      </c>
      <c r="J651" s="83" t="s">
        <v>20</v>
      </c>
      <c r="K651" s="83" t="s">
        <v>478</v>
      </c>
      <c r="L651" s="86">
        <v>45292</v>
      </c>
      <c r="M651" s="83" t="s">
        <v>20</v>
      </c>
      <c r="N651" s="87" t="s">
        <v>1361</v>
      </c>
      <c r="O651" s="83" t="s">
        <v>827</v>
      </c>
    </row>
    <row r="652" spans="1:15" ht="18">
      <c r="A652" s="81">
        <f t="shared" si="10"/>
        <v>651</v>
      </c>
      <c r="B652" s="82" t="s">
        <v>1505</v>
      </c>
      <c r="C652" s="83" t="s">
        <v>34</v>
      </c>
      <c r="D652" s="83" t="s">
        <v>35</v>
      </c>
      <c r="E652" s="84">
        <v>200</v>
      </c>
      <c r="F652" s="85">
        <v>92.89</v>
      </c>
      <c r="G652" s="83" t="s">
        <v>885</v>
      </c>
      <c r="H652" s="83" t="s">
        <v>1360</v>
      </c>
      <c r="I652" s="85">
        <f>Planejamento2024[[#This Row],[Qnt de Itens]]*Planejamento2024[[#This Row],[Valor unitário]]</f>
        <v>18578</v>
      </c>
      <c r="J652" s="83" t="s">
        <v>20</v>
      </c>
      <c r="K652" s="83" t="s">
        <v>478</v>
      </c>
      <c r="L652" s="86">
        <v>45292</v>
      </c>
      <c r="M652" s="83" t="s">
        <v>20</v>
      </c>
      <c r="N652" s="87" t="s">
        <v>1361</v>
      </c>
      <c r="O652" s="83" t="s">
        <v>827</v>
      </c>
    </row>
    <row r="653" spans="1:15" ht="18">
      <c r="A653" s="81">
        <f t="shared" si="10"/>
        <v>652</v>
      </c>
      <c r="B653" s="82" t="s">
        <v>1506</v>
      </c>
      <c r="C653" s="83" t="s">
        <v>34</v>
      </c>
      <c r="D653" s="83" t="s">
        <v>35</v>
      </c>
      <c r="E653" s="84">
        <v>100</v>
      </c>
      <c r="F653" s="85">
        <v>74.08</v>
      </c>
      <c r="G653" s="83" t="s">
        <v>885</v>
      </c>
      <c r="H653" s="83" t="s">
        <v>1360</v>
      </c>
      <c r="I653" s="85">
        <f>Planejamento2024[[#This Row],[Qnt de Itens]]*Planejamento2024[[#This Row],[Valor unitário]]</f>
        <v>7408</v>
      </c>
      <c r="J653" s="83" t="s">
        <v>20</v>
      </c>
      <c r="K653" s="83" t="s">
        <v>478</v>
      </c>
      <c r="L653" s="86">
        <v>45292</v>
      </c>
      <c r="M653" s="83" t="s">
        <v>20</v>
      </c>
      <c r="N653" s="87" t="s">
        <v>1361</v>
      </c>
      <c r="O653" s="83" t="s">
        <v>827</v>
      </c>
    </row>
    <row r="654" spans="1:15" ht="27">
      <c r="A654" s="81">
        <f t="shared" si="10"/>
        <v>653</v>
      </c>
      <c r="B654" s="82" t="s">
        <v>1507</v>
      </c>
      <c r="C654" s="83" t="s">
        <v>34</v>
      </c>
      <c r="D654" s="83" t="s">
        <v>35</v>
      </c>
      <c r="E654" s="84">
        <v>100</v>
      </c>
      <c r="F654" s="85">
        <v>388.45</v>
      </c>
      <c r="G654" s="83" t="s">
        <v>885</v>
      </c>
      <c r="H654" s="83" t="s">
        <v>1360</v>
      </c>
      <c r="I654" s="85">
        <f>Planejamento2024[[#This Row],[Qnt de Itens]]*Planejamento2024[[#This Row],[Valor unitário]]</f>
        <v>38845</v>
      </c>
      <c r="J654" s="83" t="s">
        <v>20</v>
      </c>
      <c r="K654" s="83" t="s">
        <v>478</v>
      </c>
      <c r="L654" s="86">
        <v>45292</v>
      </c>
      <c r="M654" s="83" t="s">
        <v>20</v>
      </c>
      <c r="N654" s="87" t="s">
        <v>1361</v>
      </c>
      <c r="O654" s="83" t="s">
        <v>827</v>
      </c>
    </row>
    <row r="655" spans="1:15" ht="18">
      <c r="A655" s="81">
        <f t="shared" si="10"/>
        <v>654</v>
      </c>
      <c r="B655" s="82" t="s">
        <v>1508</v>
      </c>
      <c r="C655" s="83" t="s">
        <v>34</v>
      </c>
      <c r="D655" s="83" t="s">
        <v>35</v>
      </c>
      <c r="E655" s="84">
        <v>100</v>
      </c>
      <c r="F655" s="85">
        <v>2244.15</v>
      </c>
      <c r="G655" s="83" t="s">
        <v>885</v>
      </c>
      <c r="H655" s="83" t="s">
        <v>1360</v>
      </c>
      <c r="I655" s="85">
        <f>Planejamento2024[[#This Row],[Qnt de Itens]]*Planejamento2024[[#This Row],[Valor unitário]]</f>
        <v>224415</v>
      </c>
      <c r="J655" s="83" t="s">
        <v>20</v>
      </c>
      <c r="K655" s="83" t="s">
        <v>478</v>
      </c>
      <c r="L655" s="86">
        <v>45292</v>
      </c>
      <c r="M655" s="83" t="s">
        <v>20</v>
      </c>
      <c r="N655" s="87" t="s">
        <v>1361</v>
      </c>
      <c r="O655" s="83" t="s">
        <v>827</v>
      </c>
    </row>
    <row r="656" spans="1:15" ht="18">
      <c r="A656" s="81">
        <f t="shared" si="10"/>
        <v>655</v>
      </c>
      <c r="B656" s="82" t="s">
        <v>1509</v>
      </c>
      <c r="C656" s="83" t="s">
        <v>34</v>
      </c>
      <c r="D656" s="83" t="s">
        <v>35</v>
      </c>
      <c r="E656" s="84">
        <v>100</v>
      </c>
      <c r="F656" s="85">
        <v>2218.0700000000002</v>
      </c>
      <c r="G656" s="83" t="s">
        <v>885</v>
      </c>
      <c r="H656" s="83" t="s">
        <v>1360</v>
      </c>
      <c r="I656" s="85">
        <f>Planejamento2024[[#This Row],[Qnt de Itens]]*Planejamento2024[[#This Row],[Valor unitário]]</f>
        <v>221807.00000000003</v>
      </c>
      <c r="J656" s="83" t="s">
        <v>20</v>
      </c>
      <c r="K656" s="83" t="s">
        <v>478</v>
      </c>
      <c r="L656" s="86">
        <v>45292</v>
      </c>
      <c r="M656" s="83" t="s">
        <v>20</v>
      </c>
      <c r="N656" s="87" t="s">
        <v>1361</v>
      </c>
      <c r="O656" s="83" t="s">
        <v>827</v>
      </c>
    </row>
    <row r="657" spans="1:15" ht="18">
      <c r="A657" s="81">
        <f t="shared" si="10"/>
        <v>656</v>
      </c>
      <c r="B657" s="82" t="s">
        <v>1510</v>
      </c>
      <c r="C657" s="83" t="s">
        <v>34</v>
      </c>
      <c r="D657" s="83" t="s">
        <v>35</v>
      </c>
      <c r="E657" s="84">
        <v>100</v>
      </c>
      <c r="F657" s="85">
        <v>4927.71</v>
      </c>
      <c r="G657" s="83" t="s">
        <v>885</v>
      </c>
      <c r="H657" s="83" t="s">
        <v>1360</v>
      </c>
      <c r="I657" s="85">
        <f>Planejamento2024[[#This Row],[Qnt de Itens]]*Planejamento2024[[#This Row],[Valor unitário]]</f>
        <v>492771</v>
      </c>
      <c r="J657" s="83" t="s">
        <v>20</v>
      </c>
      <c r="K657" s="83" t="s">
        <v>478</v>
      </c>
      <c r="L657" s="86">
        <v>45292</v>
      </c>
      <c r="M657" s="83" t="s">
        <v>20</v>
      </c>
      <c r="N657" s="87" t="s">
        <v>1361</v>
      </c>
      <c r="O657" s="83" t="s">
        <v>827</v>
      </c>
    </row>
    <row r="658" spans="1:15" ht="18">
      <c r="A658" s="81">
        <f t="shared" si="10"/>
        <v>657</v>
      </c>
      <c r="B658" s="82" t="s">
        <v>1511</v>
      </c>
      <c r="C658" s="83" t="s">
        <v>34</v>
      </c>
      <c r="D658" s="83" t="s">
        <v>35</v>
      </c>
      <c r="E658" s="84">
        <v>100</v>
      </c>
      <c r="F658" s="85">
        <v>2576.35</v>
      </c>
      <c r="G658" s="83" t="s">
        <v>885</v>
      </c>
      <c r="H658" s="83" t="s">
        <v>1360</v>
      </c>
      <c r="I658" s="85">
        <f>Planejamento2024[[#This Row],[Qnt de Itens]]*Planejamento2024[[#This Row],[Valor unitário]]</f>
        <v>257635</v>
      </c>
      <c r="J658" s="83" t="s">
        <v>20</v>
      </c>
      <c r="K658" s="83" t="s">
        <v>478</v>
      </c>
      <c r="L658" s="86">
        <v>45292</v>
      </c>
      <c r="M658" s="83" t="s">
        <v>20</v>
      </c>
      <c r="N658" s="87" t="s">
        <v>1361</v>
      </c>
      <c r="O658" s="83" t="s">
        <v>827</v>
      </c>
    </row>
    <row r="659" spans="1:15" ht="36">
      <c r="A659" s="81">
        <f t="shared" si="10"/>
        <v>658</v>
      </c>
      <c r="B659" s="82" t="s">
        <v>1512</v>
      </c>
      <c r="C659" s="83" t="s">
        <v>34</v>
      </c>
      <c r="D659" s="83" t="s">
        <v>35</v>
      </c>
      <c r="E659" s="84">
        <v>50</v>
      </c>
      <c r="F659" s="85">
        <v>593.03</v>
      </c>
      <c r="G659" s="83" t="s">
        <v>885</v>
      </c>
      <c r="H659" s="83" t="s">
        <v>1360</v>
      </c>
      <c r="I659" s="85">
        <f>Planejamento2024[[#This Row],[Qnt de Itens]]*Planejamento2024[[#This Row],[Valor unitário]]</f>
        <v>29651.5</v>
      </c>
      <c r="J659" s="83" t="s">
        <v>20</v>
      </c>
      <c r="K659" s="83" t="s">
        <v>478</v>
      </c>
      <c r="L659" s="86">
        <v>45292</v>
      </c>
      <c r="M659" s="83" t="s">
        <v>20</v>
      </c>
      <c r="N659" s="87" t="s">
        <v>1361</v>
      </c>
      <c r="O659" s="83" t="s">
        <v>827</v>
      </c>
    </row>
    <row r="660" spans="1:15" ht="36">
      <c r="A660" s="81">
        <f t="shared" si="10"/>
        <v>659</v>
      </c>
      <c r="B660" s="82" t="s">
        <v>1513</v>
      </c>
      <c r="C660" s="83" t="s">
        <v>34</v>
      </c>
      <c r="D660" s="83" t="s">
        <v>35</v>
      </c>
      <c r="E660" s="84">
        <v>50</v>
      </c>
      <c r="F660" s="85">
        <v>650.27</v>
      </c>
      <c r="G660" s="83" t="s">
        <v>885</v>
      </c>
      <c r="H660" s="83" t="s">
        <v>1360</v>
      </c>
      <c r="I660" s="85">
        <f>Planejamento2024[[#This Row],[Qnt de Itens]]*Planejamento2024[[#This Row],[Valor unitário]]</f>
        <v>32513.5</v>
      </c>
      <c r="J660" s="83" t="s">
        <v>20</v>
      </c>
      <c r="K660" s="83" t="s">
        <v>478</v>
      </c>
      <c r="L660" s="86">
        <v>45292</v>
      </c>
      <c r="M660" s="83" t="s">
        <v>20</v>
      </c>
      <c r="N660" s="87" t="s">
        <v>1361</v>
      </c>
      <c r="O660" s="83" t="s">
        <v>827</v>
      </c>
    </row>
    <row r="661" spans="1:15" ht="18">
      <c r="A661" s="81">
        <f t="shared" si="10"/>
        <v>660</v>
      </c>
      <c r="B661" s="82" t="s">
        <v>1514</v>
      </c>
      <c r="C661" s="83" t="s">
        <v>34</v>
      </c>
      <c r="D661" s="83" t="s">
        <v>35</v>
      </c>
      <c r="E661" s="84">
        <v>100</v>
      </c>
      <c r="F661" s="85">
        <v>16.63</v>
      </c>
      <c r="G661" s="83" t="s">
        <v>885</v>
      </c>
      <c r="H661" s="83" t="s">
        <v>1360</v>
      </c>
      <c r="I661" s="85">
        <f>Planejamento2024[[#This Row],[Qnt de Itens]]*Planejamento2024[[#This Row],[Valor unitário]]</f>
        <v>1663</v>
      </c>
      <c r="J661" s="83" t="s">
        <v>20</v>
      </c>
      <c r="K661" s="83" t="s">
        <v>478</v>
      </c>
      <c r="L661" s="86">
        <v>45292</v>
      </c>
      <c r="M661" s="83" t="s">
        <v>20</v>
      </c>
      <c r="N661" s="87" t="s">
        <v>1361</v>
      </c>
      <c r="O661" s="83" t="s">
        <v>827</v>
      </c>
    </row>
    <row r="662" spans="1:15" ht="18">
      <c r="A662" s="81">
        <f t="shared" si="10"/>
        <v>661</v>
      </c>
      <c r="B662" s="82" t="s">
        <v>1515</v>
      </c>
      <c r="C662" s="83" t="s">
        <v>34</v>
      </c>
      <c r="D662" s="83" t="s">
        <v>35</v>
      </c>
      <c r="E662" s="84">
        <v>20</v>
      </c>
      <c r="F662" s="85">
        <v>103.1</v>
      </c>
      <c r="G662" s="83" t="s">
        <v>885</v>
      </c>
      <c r="H662" s="83" t="s">
        <v>1360</v>
      </c>
      <c r="I662" s="85">
        <f>Planejamento2024[[#This Row],[Qnt de Itens]]*Planejamento2024[[#This Row],[Valor unitário]]</f>
        <v>2062</v>
      </c>
      <c r="J662" s="83" t="s">
        <v>20</v>
      </c>
      <c r="K662" s="83" t="s">
        <v>478</v>
      </c>
      <c r="L662" s="86">
        <v>45292</v>
      </c>
      <c r="M662" s="83" t="s">
        <v>20</v>
      </c>
      <c r="N662" s="87" t="s">
        <v>1361</v>
      </c>
      <c r="O662" s="83" t="s">
        <v>827</v>
      </c>
    </row>
    <row r="663" spans="1:15" ht="54">
      <c r="A663" s="81">
        <f t="shared" si="10"/>
        <v>662</v>
      </c>
      <c r="B663" s="82" t="s">
        <v>1516</v>
      </c>
      <c r="C663" s="83" t="s">
        <v>34</v>
      </c>
      <c r="D663" s="83" t="s">
        <v>35</v>
      </c>
      <c r="E663" s="84">
        <v>200</v>
      </c>
      <c r="F663" s="85">
        <v>407.75</v>
      </c>
      <c r="G663" s="83" t="s">
        <v>885</v>
      </c>
      <c r="H663" s="83" t="s">
        <v>1360</v>
      </c>
      <c r="I663" s="85">
        <f>Planejamento2024[[#This Row],[Qnt de Itens]]*Planejamento2024[[#This Row],[Valor unitário]]</f>
        <v>81550</v>
      </c>
      <c r="J663" s="83" t="s">
        <v>20</v>
      </c>
      <c r="K663" s="83" t="s">
        <v>478</v>
      </c>
      <c r="L663" s="86">
        <v>45292</v>
      </c>
      <c r="M663" s="83" t="s">
        <v>20</v>
      </c>
      <c r="N663" s="87" t="s">
        <v>1361</v>
      </c>
      <c r="O663" s="83" t="s">
        <v>827</v>
      </c>
    </row>
    <row r="664" spans="1:15" ht="72">
      <c r="A664" s="81">
        <f t="shared" si="10"/>
        <v>663</v>
      </c>
      <c r="B664" s="82" t="s">
        <v>1517</v>
      </c>
      <c r="C664" s="83" t="s">
        <v>34</v>
      </c>
      <c r="D664" s="83" t="s">
        <v>35</v>
      </c>
      <c r="E664" s="84">
        <v>200</v>
      </c>
      <c r="F664" s="85">
        <v>460</v>
      </c>
      <c r="G664" s="83" t="s">
        <v>885</v>
      </c>
      <c r="H664" s="83" t="s">
        <v>1360</v>
      </c>
      <c r="I664" s="85">
        <f>Planejamento2024[[#This Row],[Qnt de Itens]]*Planejamento2024[[#This Row],[Valor unitário]]</f>
        <v>92000</v>
      </c>
      <c r="J664" s="83" t="s">
        <v>20</v>
      </c>
      <c r="K664" s="83" t="s">
        <v>478</v>
      </c>
      <c r="L664" s="86">
        <v>45292</v>
      </c>
      <c r="M664" s="83" t="s">
        <v>20</v>
      </c>
      <c r="N664" s="87" t="s">
        <v>1361</v>
      </c>
      <c r="O664" s="83" t="s">
        <v>827</v>
      </c>
    </row>
    <row r="665" spans="1:15" ht="27">
      <c r="A665" s="81">
        <f t="shared" si="10"/>
        <v>664</v>
      </c>
      <c r="B665" s="82" t="s">
        <v>1518</v>
      </c>
      <c r="C665" s="83" t="s">
        <v>34</v>
      </c>
      <c r="D665" s="83" t="s">
        <v>35</v>
      </c>
      <c r="E665" s="84">
        <v>500</v>
      </c>
      <c r="F665" s="85">
        <v>57.15</v>
      </c>
      <c r="G665" s="83" t="s">
        <v>885</v>
      </c>
      <c r="H665" s="83" t="s">
        <v>1360</v>
      </c>
      <c r="I665" s="85">
        <f>Planejamento2024[[#This Row],[Qnt de Itens]]*Planejamento2024[[#This Row],[Valor unitário]]</f>
        <v>28575</v>
      </c>
      <c r="J665" s="83" t="s">
        <v>20</v>
      </c>
      <c r="K665" s="83" t="s">
        <v>478</v>
      </c>
      <c r="L665" s="86">
        <v>45292</v>
      </c>
      <c r="M665" s="83" t="s">
        <v>20</v>
      </c>
      <c r="N665" s="87" t="s">
        <v>1361</v>
      </c>
      <c r="O665" s="83" t="s">
        <v>827</v>
      </c>
    </row>
    <row r="666" spans="1:15" ht="27">
      <c r="A666" s="81">
        <f t="shared" si="10"/>
        <v>665</v>
      </c>
      <c r="B666" s="82" t="s">
        <v>1519</v>
      </c>
      <c r="C666" s="83" t="s">
        <v>34</v>
      </c>
      <c r="D666" s="83" t="s">
        <v>35</v>
      </c>
      <c r="E666" s="84">
        <v>500</v>
      </c>
      <c r="F666" s="85">
        <v>45.74</v>
      </c>
      <c r="G666" s="83" t="s">
        <v>885</v>
      </c>
      <c r="H666" s="83" t="s">
        <v>1360</v>
      </c>
      <c r="I666" s="85">
        <f>Planejamento2024[[#This Row],[Qnt de Itens]]*Planejamento2024[[#This Row],[Valor unitário]]</f>
        <v>22870</v>
      </c>
      <c r="J666" s="83" t="s">
        <v>20</v>
      </c>
      <c r="K666" s="83" t="s">
        <v>478</v>
      </c>
      <c r="L666" s="86">
        <v>45292</v>
      </c>
      <c r="M666" s="83" t="s">
        <v>20</v>
      </c>
      <c r="N666" s="87" t="s">
        <v>1361</v>
      </c>
      <c r="O666" s="83" t="s">
        <v>827</v>
      </c>
    </row>
    <row r="667" spans="1:15" ht="18">
      <c r="A667" s="81">
        <f t="shared" si="10"/>
        <v>666</v>
      </c>
      <c r="B667" s="82" t="s">
        <v>1520</v>
      </c>
      <c r="C667" s="83" t="s">
        <v>34</v>
      </c>
      <c r="D667" s="83" t="s">
        <v>35</v>
      </c>
      <c r="E667" s="84">
        <v>500</v>
      </c>
      <c r="F667" s="85">
        <v>58.93</v>
      </c>
      <c r="G667" s="83" t="s">
        <v>885</v>
      </c>
      <c r="H667" s="83" t="s">
        <v>1360</v>
      </c>
      <c r="I667" s="85">
        <f>Planejamento2024[[#This Row],[Qnt de Itens]]*Planejamento2024[[#This Row],[Valor unitário]]</f>
        <v>29465</v>
      </c>
      <c r="J667" s="83" t="s">
        <v>20</v>
      </c>
      <c r="K667" s="83" t="s">
        <v>478</v>
      </c>
      <c r="L667" s="86">
        <v>45292</v>
      </c>
      <c r="M667" s="83" t="s">
        <v>20</v>
      </c>
      <c r="N667" s="87" t="s">
        <v>1361</v>
      </c>
      <c r="O667" s="83" t="s">
        <v>827</v>
      </c>
    </row>
    <row r="668" spans="1:15" ht="18">
      <c r="A668" s="81">
        <f t="shared" si="10"/>
        <v>667</v>
      </c>
      <c r="B668" s="82" t="s">
        <v>1521</v>
      </c>
      <c r="C668" s="83" t="s">
        <v>34</v>
      </c>
      <c r="D668" s="83" t="s">
        <v>35</v>
      </c>
      <c r="E668" s="84">
        <v>200</v>
      </c>
      <c r="F668" s="85">
        <v>35.950000000000003</v>
      </c>
      <c r="G668" s="83" t="s">
        <v>885</v>
      </c>
      <c r="H668" s="83" t="s">
        <v>1360</v>
      </c>
      <c r="I668" s="85">
        <f>Planejamento2024[[#This Row],[Qnt de Itens]]*Planejamento2024[[#This Row],[Valor unitário]]</f>
        <v>7190.0000000000009</v>
      </c>
      <c r="J668" s="83" t="s">
        <v>20</v>
      </c>
      <c r="K668" s="83" t="s">
        <v>478</v>
      </c>
      <c r="L668" s="86">
        <v>45292</v>
      </c>
      <c r="M668" s="83" t="s">
        <v>20</v>
      </c>
      <c r="N668" s="87" t="s">
        <v>1361</v>
      </c>
      <c r="O668" s="83" t="s">
        <v>827</v>
      </c>
    </row>
    <row r="669" spans="1:15" ht="18">
      <c r="A669" s="81">
        <f t="shared" si="10"/>
        <v>668</v>
      </c>
      <c r="B669" s="82" t="s">
        <v>1522</v>
      </c>
      <c r="C669" s="83" t="s">
        <v>34</v>
      </c>
      <c r="D669" s="83" t="s">
        <v>35</v>
      </c>
      <c r="E669" s="84">
        <v>200</v>
      </c>
      <c r="F669" s="85">
        <v>22.8</v>
      </c>
      <c r="G669" s="83" t="s">
        <v>885</v>
      </c>
      <c r="H669" s="83" t="s">
        <v>1360</v>
      </c>
      <c r="I669" s="85">
        <f>Planejamento2024[[#This Row],[Qnt de Itens]]*Planejamento2024[[#This Row],[Valor unitário]]</f>
        <v>4560</v>
      </c>
      <c r="J669" s="83" t="s">
        <v>20</v>
      </c>
      <c r="K669" s="83" t="s">
        <v>478</v>
      </c>
      <c r="L669" s="86">
        <v>45292</v>
      </c>
      <c r="M669" s="83" t="s">
        <v>20</v>
      </c>
      <c r="N669" s="87" t="s">
        <v>1361</v>
      </c>
      <c r="O669" s="83" t="s">
        <v>827</v>
      </c>
    </row>
    <row r="670" spans="1:15" ht="18">
      <c r="A670" s="81">
        <f t="shared" si="10"/>
        <v>669</v>
      </c>
      <c r="B670" s="82" t="s">
        <v>1523</v>
      </c>
      <c r="C670" s="83" t="s">
        <v>34</v>
      </c>
      <c r="D670" s="83" t="s">
        <v>35</v>
      </c>
      <c r="E670" s="84">
        <v>200</v>
      </c>
      <c r="F670" s="85">
        <v>108.18</v>
      </c>
      <c r="G670" s="83" t="s">
        <v>885</v>
      </c>
      <c r="H670" s="83" t="s">
        <v>1360</v>
      </c>
      <c r="I670" s="85">
        <f>Planejamento2024[[#This Row],[Qnt de Itens]]*Planejamento2024[[#This Row],[Valor unitário]]</f>
        <v>21636</v>
      </c>
      <c r="J670" s="83" t="s">
        <v>20</v>
      </c>
      <c r="K670" s="83" t="s">
        <v>478</v>
      </c>
      <c r="L670" s="86">
        <v>45292</v>
      </c>
      <c r="M670" s="83" t="s">
        <v>20</v>
      </c>
      <c r="N670" s="87" t="s">
        <v>1361</v>
      </c>
      <c r="O670" s="83" t="s">
        <v>827</v>
      </c>
    </row>
    <row r="671" spans="1:15" ht="27">
      <c r="A671" s="81">
        <f t="shared" si="10"/>
        <v>670</v>
      </c>
      <c r="B671" s="82" t="s">
        <v>1524</v>
      </c>
      <c r="C671" s="83" t="s">
        <v>34</v>
      </c>
      <c r="D671" s="83" t="s">
        <v>35</v>
      </c>
      <c r="E671" s="84">
        <v>100</v>
      </c>
      <c r="F671" s="85">
        <v>31.94</v>
      </c>
      <c r="G671" s="83" t="s">
        <v>885</v>
      </c>
      <c r="H671" s="83" t="s">
        <v>1360</v>
      </c>
      <c r="I671" s="85">
        <f>Planejamento2024[[#This Row],[Qnt de Itens]]*Planejamento2024[[#This Row],[Valor unitário]]</f>
        <v>3194</v>
      </c>
      <c r="J671" s="83" t="s">
        <v>20</v>
      </c>
      <c r="K671" s="83" t="s">
        <v>478</v>
      </c>
      <c r="L671" s="86">
        <v>45292</v>
      </c>
      <c r="M671" s="83" t="s">
        <v>20</v>
      </c>
      <c r="N671" s="87" t="s">
        <v>1361</v>
      </c>
      <c r="O671" s="83" t="s">
        <v>827</v>
      </c>
    </row>
    <row r="672" spans="1:15" ht="18">
      <c r="A672" s="81">
        <f t="shared" si="10"/>
        <v>671</v>
      </c>
      <c r="B672" s="82" t="s">
        <v>1525</v>
      </c>
      <c r="C672" s="83" t="s">
        <v>34</v>
      </c>
      <c r="D672" s="83" t="s">
        <v>35</v>
      </c>
      <c r="E672" s="84">
        <v>200</v>
      </c>
      <c r="F672" s="85">
        <v>95.33</v>
      </c>
      <c r="G672" s="83" t="s">
        <v>885</v>
      </c>
      <c r="H672" s="83" t="s">
        <v>1360</v>
      </c>
      <c r="I672" s="85">
        <f>Planejamento2024[[#This Row],[Qnt de Itens]]*Planejamento2024[[#This Row],[Valor unitário]]</f>
        <v>19066</v>
      </c>
      <c r="J672" s="83" t="s">
        <v>20</v>
      </c>
      <c r="K672" s="83" t="s">
        <v>478</v>
      </c>
      <c r="L672" s="86">
        <v>45292</v>
      </c>
      <c r="M672" s="83" t="s">
        <v>20</v>
      </c>
      <c r="N672" s="87" t="s">
        <v>1361</v>
      </c>
      <c r="O672" s="83" t="s">
        <v>827</v>
      </c>
    </row>
    <row r="673" spans="1:15" ht="36">
      <c r="A673" s="81">
        <f t="shared" si="10"/>
        <v>672</v>
      </c>
      <c r="B673" s="82" t="s">
        <v>1526</v>
      </c>
      <c r="C673" s="83" t="s">
        <v>34</v>
      </c>
      <c r="D673" s="83" t="s">
        <v>35</v>
      </c>
      <c r="E673" s="84">
        <v>5</v>
      </c>
      <c r="F673" s="85">
        <v>2131</v>
      </c>
      <c r="G673" s="83" t="s">
        <v>885</v>
      </c>
      <c r="H673" s="83" t="s">
        <v>1360</v>
      </c>
      <c r="I673" s="85">
        <f>Planejamento2024[[#This Row],[Qnt de Itens]]*Planejamento2024[[#This Row],[Valor unitário]]</f>
        <v>10655</v>
      </c>
      <c r="J673" s="83" t="s">
        <v>20</v>
      </c>
      <c r="K673" s="83" t="s">
        <v>478</v>
      </c>
      <c r="L673" s="86">
        <v>45292</v>
      </c>
      <c r="M673" s="83" t="s">
        <v>20</v>
      </c>
      <c r="N673" s="87" t="s">
        <v>1361</v>
      </c>
      <c r="O673" s="83" t="s">
        <v>827</v>
      </c>
    </row>
    <row r="674" spans="1:15" ht="27">
      <c r="A674" s="81">
        <f t="shared" si="10"/>
        <v>673</v>
      </c>
      <c r="B674" s="82" t="s">
        <v>1527</v>
      </c>
      <c r="C674" s="83" t="s">
        <v>34</v>
      </c>
      <c r="D674" s="83" t="s">
        <v>35</v>
      </c>
      <c r="E674" s="84">
        <v>200</v>
      </c>
      <c r="F674" s="85">
        <v>26.92</v>
      </c>
      <c r="G674" s="83" t="s">
        <v>885</v>
      </c>
      <c r="H674" s="83" t="s">
        <v>1360</v>
      </c>
      <c r="I674" s="85">
        <f>Planejamento2024[[#This Row],[Qnt de Itens]]*Planejamento2024[[#This Row],[Valor unitário]]</f>
        <v>5384</v>
      </c>
      <c r="J674" s="83" t="s">
        <v>20</v>
      </c>
      <c r="K674" s="83" t="s">
        <v>478</v>
      </c>
      <c r="L674" s="86">
        <v>45292</v>
      </c>
      <c r="M674" s="83" t="s">
        <v>20</v>
      </c>
      <c r="N674" s="87" t="s">
        <v>1361</v>
      </c>
      <c r="O674" s="83" t="s">
        <v>827</v>
      </c>
    </row>
    <row r="675" spans="1:15" ht="27">
      <c r="A675" s="81">
        <f t="shared" si="10"/>
        <v>674</v>
      </c>
      <c r="B675" s="82" t="s">
        <v>1528</v>
      </c>
      <c r="C675" s="83" t="s">
        <v>34</v>
      </c>
      <c r="D675" s="83" t="s">
        <v>35</v>
      </c>
      <c r="E675" s="84">
        <v>200</v>
      </c>
      <c r="F675" s="85">
        <v>29.99</v>
      </c>
      <c r="G675" s="83" t="s">
        <v>885</v>
      </c>
      <c r="H675" s="83" t="s">
        <v>1360</v>
      </c>
      <c r="I675" s="85">
        <f>Planejamento2024[[#This Row],[Qnt de Itens]]*Planejamento2024[[#This Row],[Valor unitário]]</f>
        <v>5998</v>
      </c>
      <c r="J675" s="83" t="s">
        <v>20</v>
      </c>
      <c r="K675" s="83" t="s">
        <v>478</v>
      </c>
      <c r="L675" s="86">
        <v>45292</v>
      </c>
      <c r="M675" s="83" t="s">
        <v>20</v>
      </c>
      <c r="N675" s="87" t="s">
        <v>1361</v>
      </c>
      <c r="O675" s="83" t="s">
        <v>827</v>
      </c>
    </row>
    <row r="676" spans="1:15" ht="27">
      <c r="A676" s="81">
        <f t="shared" si="10"/>
        <v>675</v>
      </c>
      <c r="B676" s="82" t="s">
        <v>1529</v>
      </c>
      <c r="C676" s="83" t="s">
        <v>34</v>
      </c>
      <c r="D676" s="83" t="s">
        <v>35</v>
      </c>
      <c r="E676" s="84">
        <v>200</v>
      </c>
      <c r="F676" s="85">
        <v>31.5</v>
      </c>
      <c r="G676" s="83" t="s">
        <v>885</v>
      </c>
      <c r="H676" s="83" t="s">
        <v>1360</v>
      </c>
      <c r="I676" s="85">
        <f>Planejamento2024[[#This Row],[Qnt de Itens]]*Planejamento2024[[#This Row],[Valor unitário]]</f>
        <v>6300</v>
      </c>
      <c r="J676" s="83" t="s">
        <v>20</v>
      </c>
      <c r="K676" s="83" t="s">
        <v>478</v>
      </c>
      <c r="L676" s="86">
        <v>45292</v>
      </c>
      <c r="M676" s="83" t="s">
        <v>20</v>
      </c>
      <c r="N676" s="87" t="s">
        <v>1361</v>
      </c>
      <c r="O676" s="83" t="s">
        <v>827</v>
      </c>
    </row>
    <row r="677" spans="1:15" ht="27">
      <c r="A677" s="81">
        <f t="shared" si="10"/>
        <v>676</v>
      </c>
      <c r="B677" s="82" t="s">
        <v>1530</v>
      </c>
      <c r="C677" s="83" t="s">
        <v>34</v>
      </c>
      <c r="D677" s="83" t="s">
        <v>35</v>
      </c>
      <c r="E677" s="84">
        <v>200</v>
      </c>
      <c r="F677" s="85">
        <v>31.21</v>
      </c>
      <c r="G677" s="83" t="s">
        <v>885</v>
      </c>
      <c r="H677" s="83" t="s">
        <v>1360</v>
      </c>
      <c r="I677" s="85">
        <f>Planejamento2024[[#This Row],[Qnt de Itens]]*Planejamento2024[[#This Row],[Valor unitário]]</f>
        <v>6242</v>
      </c>
      <c r="J677" s="83" t="s">
        <v>20</v>
      </c>
      <c r="K677" s="83" t="s">
        <v>478</v>
      </c>
      <c r="L677" s="86">
        <v>45292</v>
      </c>
      <c r="M677" s="83" t="s">
        <v>20</v>
      </c>
      <c r="N677" s="87" t="s">
        <v>1361</v>
      </c>
      <c r="O677" s="83" t="s">
        <v>827</v>
      </c>
    </row>
    <row r="678" spans="1:15" ht="27">
      <c r="A678" s="81">
        <f t="shared" si="10"/>
        <v>677</v>
      </c>
      <c r="B678" s="82" t="s">
        <v>1531</v>
      </c>
      <c r="C678" s="83" t="s">
        <v>34</v>
      </c>
      <c r="D678" s="83" t="s">
        <v>35</v>
      </c>
      <c r="E678" s="84">
        <v>200</v>
      </c>
      <c r="F678" s="85">
        <v>31.15</v>
      </c>
      <c r="G678" s="83" t="s">
        <v>885</v>
      </c>
      <c r="H678" s="83" t="s">
        <v>1360</v>
      </c>
      <c r="I678" s="85">
        <f>Planejamento2024[[#This Row],[Qnt de Itens]]*Planejamento2024[[#This Row],[Valor unitário]]</f>
        <v>6230</v>
      </c>
      <c r="J678" s="83" t="s">
        <v>20</v>
      </c>
      <c r="K678" s="83" t="s">
        <v>478</v>
      </c>
      <c r="L678" s="86">
        <v>45292</v>
      </c>
      <c r="M678" s="83" t="s">
        <v>20</v>
      </c>
      <c r="N678" s="87" t="s">
        <v>1361</v>
      </c>
      <c r="O678" s="83" t="s">
        <v>827</v>
      </c>
    </row>
    <row r="679" spans="1:15" ht="27">
      <c r="A679" s="81">
        <f t="shared" si="10"/>
        <v>678</v>
      </c>
      <c r="B679" s="82" t="s">
        <v>1532</v>
      </c>
      <c r="C679" s="83" t="s">
        <v>34</v>
      </c>
      <c r="D679" s="83" t="s">
        <v>35</v>
      </c>
      <c r="E679" s="84">
        <v>200</v>
      </c>
      <c r="F679" s="85">
        <v>26.28</v>
      </c>
      <c r="G679" s="83" t="s">
        <v>885</v>
      </c>
      <c r="H679" s="83" t="s">
        <v>1360</v>
      </c>
      <c r="I679" s="85">
        <f>Planejamento2024[[#This Row],[Qnt de Itens]]*Planejamento2024[[#This Row],[Valor unitário]]</f>
        <v>5256</v>
      </c>
      <c r="J679" s="83" t="s">
        <v>20</v>
      </c>
      <c r="K679" s="83" t="s">
        <v>478</v>
      </c>
      <c r="L679" s="86">
        <v>45292</v>
      </c>
      <c r="M679" s="83" t="s">
        <v>20</v>
      </c>
      <c r="N679" s="87" t="s">
        <v>1361</v>
      </c>
      <c r="O679" s="83" t="s">
        <v>827</v>
      </c>
    </row>
    <row r="680" spans="1:15" ht="27">
      <c r="A680" s="81">
        <f t="shared" si="10"/>
        <v>679</v>
      </c>
      <c r="B680" s="82" t="s">
        <v>1533</v>
      </c>
      <c r="C680" s="83" t="s">
        <v>34</v>
      </c>
      <c r="D680" s="83" t="s">
        <v>35</v>
      </c>
      <c r="E680" s="84">
        <v>200</v>
      </c>
      <c r="F680" s="85">
        <v>25.77</v>
      </c>
      <c r="G680" s="83" t="s">
        <v>885</v>
      </c>
      <c r="H680" s="83" t="s">
        <v>1360</v>
      </c>
      <c r="I680" s="85">
        <f>Planejamento2024[[#This Row],[Qnt de Itens]]*Planejamento2024[[#This Row],[Valor unitário]]</f>
        <v>5154</v>
      </c>
      <c r="J680" s="83" t="s">
        <v>20</v>
      </c>
      <c r="K680" s="83" t="s">
        <v>478</v>
      </c>
      <c r="L680" s="86">
        <v>45292</v>
      </c>
      <c r="M680" s="83" t="s">
        <v>20</v>
      </c>
      <c r="N680" s="87" t="s">
        <v>1361</v>
      </c>
      <c r="O680" s="83" t="s">
        <v>827</v>
      </c>
    </row>
    <row r="681" spans="1:15" ht="27">
      <c r="A681" s="81">
        <f t="shared" si="10"/>
        <v>680</v>
      </c>
      <c r="B681" s="82" t="s">
        <v>1534</v>
      </c>
      <c r="C681" s="83" t="s">
        <v>34</v>
      </c>
      <c r="D681" s="83" t="s">
        <v>35</v>
      </c>
      <c r="E681" s="84">
        <v>200</v>
      </c>
      <c r="F681" s="85">
        <v>23.25</v>
      </c>
      <c r="G681" s="83" t="s">
        <v>885</v>
      </c>
      <c r="H681" s="83" t="s">
        <v>1360</v>
      </c>
      <c r="I681" s="85">
        <f>Planejamento2024[[#This Row],[Qnt de Itens]]*Planejamento2024[[#This Row],[Valor unitário]]</f>
        <v>4650</v>
      </c>
      <c r="J681" s="83" t="s">
        <v>20</v>
      </c>
      <c r="K681" s="83" t="s">
        <v>478</v>
      </c>
      <c r="L681" s="86">
        <v>45292</v>
      </c>
      <c r="M681" s="83" t="s">
        <v>20</v>
      </c>
      <c r="N681" s="87" t="s">
        <v>1361</v>
      </c>
      <c r="O681" s="83" t="s">
        <v>827</v>
      </c>
    </row>
    <row r="682" spans="1:15" ht="27">
      <c r="A682" s="81">
        <f t="shared" si="10"/>
        <v>681</v>
      </c>
      <c r="B682" s="82" t="s">
        <v>1535</v>
      </c>
      <c r="C682" s="83" t="s">
        <v>34</v>
      </c>
      <c r="D682" s="83" t="s">
        <v>35</v>
      </c>
      <c r="E682" s="84">
        <v>200</v>
      </c>
      <c r="F682" s="85">
        <v>26.44</v>
      </c>
      <c r="G682" s="83" t="s">
        <v>885</v>
      </c>
      <c r="H682" s="83" t="s">
        <v>1360</v>
      </c>
      <c r="I682" s="85">
        <f>Planejamento2024[[#This Row],[Qnt de Itens]]*Planejamento2024[[#This Row],[Valor unitário]]</f>
        <v>5288</v>
      </c>
      <c r="J682" s="83" t="s">
        <v>20</v>
      </c>
      <c r="K682" s="83" t="s">
        <v>478</v>
      </c>
      <c r="L682" s="86">
        <v>45292</v>
      </c>
      <c r="M682" s="83" t="s">
        <v>20</v>
      </c>
      <c r="N682" s="87" t="s">
        <v>1361</v>
      </c>
      <c r="O682" s="83" t="s">
        <v>827</v>
      </c>
    </row>
    <row r="683" spans="1:15" ht="27">
      <c r="A683" s="81">
        <f t="shared" si="10"/>
        <v>682</v>
      </c>
      <c r="B683" s="82" t="s">
        <v>1536</v>
      </c>
      <c r="C683" s="83" t="s">
        <v>34</v>
      </c>
      <c r="D683" s="83" t="s">
        <v>35</v>
      </c>
      <c r="E683" s="84">
        <v>200</v>
      </c>
      <c r="F683" s="85">
        <v>26.44</v>
      </c>
      <c r="G683" s="83" t="s">
        <v>885</v>
      </c>
      <c r="H683" s="83" t="s">
        <v>1360</v>
      </c>
      <c r="I683" s="85">
        <f>Planejamento2024[[#This Row],[Qnt de Itens]]*Planejamento2024[[#This Row],[Valor unitário]]</f>
        <v>5288</v>
      </c>
      <c r="J683" s="83" t="s">
        <v>20</v>
      </c>
      <c r="K683" s="83" t="s">
        <v>478</v>
      </c>
      <c r="L683" s="86">
        <v>45292</v>
      </c>
      <c r="M683" s="83" t="s">
        <v>20</v>
      </c>
      <c r="N683" s="87" t="s">
        <v>1361</v>
      </c>
      <c r="O683" s="83" t="s">
        <v>827</v>
      </c>
    </row>
    <row r="684" spans="1:15" ht="27">
      <c r="A684" s="81">
        <f t="shared" si="10"/>
        <v>683</v>
      </c>
      <c r="B684" s="82" t="s">
        <v>1537</v>
      </c>
      <c r="C684" s="83" t="s">
        <v>34</v>
      </c>
      <c r="D684" s="83" t="s">
        <v>35</v>
      </c>
      <c r="E684" s="84">
        <v>200</v>
      </c>
      <c r="F684" s="85">
        <v>28.26</v>
      </c>
      <c r="G684" s="83" t="s">
        <v>885</v>
      </c>
      <c r="H684" s="83" t="s">
        <v>1360</v>
      </c>
      <c r="I684" s="85">
        <f>Planejamento2024[[#This Row],[Qnt de Itens]]*Planejamento2024[[#This Row],[Valor unitário]]</f>
        <v>5652</v>
      </c>
      <c r="J684" s="83" t="s">
        <v>20</v>
      </c>
      <c r="K684" s="83" t="s">
        <v>478</v>
      </c>
      <c r="L684" s="86">
        <v>45292</v>
      </c>
      <c r="M684" s="83" t="s">
        <v>20</v>
      </c>
      <c r="N684" s="87" t="s">
        <v>1361</v>
      </c>
      <c r="O684" s="83" t="s">
        <v>827</v>
      </c>
    </row>
    <row r="685" spans="1:15" ht="27">
      <c r="A685" s="81">
        <f t="shared" si="10"/>
        <v>684</v>
      </c>
      <c r="B685" s="82" t="s">
        <v>1538</v>
      </c>
      <c r="C685" s="83" t="s">
        <v>34</v>
      </c>
      <c r="D685" s="83" t="s">
        <v>35</v>
      </c>
      <c r="E685" s="84">
        <v>300</v>
      </c>
      <c r="F685" s="85">
        <v>31.06</v>
      </c>
      <c r="G685" s="83" t="s">
        <v>885</v>
      </c>
      <c r="H685" s="83" t="s">
        <v>1360</v>
      </c>
      <c r="I685" s="85">
        <f>Planejamento2024[[#This Row],[Qnt de Itens]]*Planejamento2024[[#This Row],[Valor unitário]]</f>
        <v>9318</v>
      </c>
      <c r="J685" s="83" t="s">
        <v>20</v>
      </c>
      <c r="K685" s="83" t="s">
        <v>478</v>
      </c>
      <c r="L685" s="86">
        <v>45292</v>
      </c>
      <c r="M685" s="83" t="s">
        <v>20</v>
      </c>
      <c r="N685" s="87" t="s">
        <v>1361</v>
      </c>
      <c r="O685" s="83" t="s">
        <v>827</v>
      </c>
    </row>
    <row r="686" spans="1:15" ht="54">
      <c r="A686" s="81">
        <f t="shared" si="10"/>
        <v>685</v>
      </c>
      <c r="B686" s="82" t="s">
        <v>1539</v>
      </c>
      <c r="C686" s="83" t="s">
        <v>34</v>
      </c>
      <c r="D686" s="83" t="s">
        <v>35</v>
      </c>
      <c r="E686" s="84">
        <v>100</v>
      </c>
      <c r="F686" s="85">
        <v>16.170000000000002</v>
      </c>
      <c r="G686" s="83" t="s">
        <v>885</v>
      </c>
      <c r="H686" s="83" t="s">
        <v>1360</v>
      </c>
      <c r="I686" s="85">
        <f>Planejamento2024[[#This Row],[Qnt de Itens]]*Planejamento2024[[#This Row],[Valor unitário]]</f>
        <v>1617.0000000000002</v>
      </c>
      <c r="J686" s="83" t="s">
        <v>20</v>
      </c>
      <c r="K686" s="83" t="s">
        <v>478</v>
      </c>
      <c r="L686" s="86">
        <v>45292</v>
      </c>
      <c r="M686" s="83" t="s">
        <v>20</v>
      </c>
      <c r="N686" s="87" t="s">
        <v>1361</v>
      </c>
      <c r="O686" s="83" t="s">
        <v>827</v>
      </c>
    </row>
    <row r="687" spans="1:15" ht="54">
      <c r="A687" s="81">
        <f t="shared" si="10"/>
        <v>686</v>
      </c>
      <c r="B687" s="82" t="s">
        <v>1540</v>
      </c>
      <c r="C687" s="83" t="s">
        <v>34</v>
      </c>
      <c r="D687" s="83" t="s">
        <v>35</v>
      </c>
      <c r="E687" s="84">
        <v>50</v>
      </c>
      <c r="F687" s="85">
        <v>18.66</v>
      </c>
      <c r="G687" s="83" t="s">
        <v>885</v>
      </c>
      <c r="H687" s="83" t="s">
        <v>1360</v>
      </c>
      <c r="I687" s="85">
        <f>Planejamento2024[[#This Row],[Qnt de Itens]]*Planejamento2024[[#This Row],[Valor unitário]]</f>
        <v>933</v>
      </c>
      <c r="J687" s="83" t="s">
        <v>20</v>
      </c>
      <c r="K687" s="83" t="s">
        <v>478</v>
      </c>
      <c r="L687" s="86">
        <v>45292</v>
      </c>
      <c r="M687" s="83" t="s">
        <v>20</v>
      </c>
      <c r="N687" s="87" t="s">
        <v>1361</v>
      </c>
      <c r="O687" s="83" t="s">
        <v>827</v>
      </c>
    </row>
    <row r="688" spans="1:15" ht="54">
      <c r="A688" s="81">
        <f t="shared" si="10"/>
        <v>687</v>
      </c>
      <c r="B688" s="82" t="s">
        <v>1541</v>
      </c>
      <c r="C688" s="83" t="s">
        <v>34</v>
      </c>
      <c r="D688" s="83" t="s">
        <v>35</v>
      </c>
      <c r="E688" s="84">
        <v>50</v>
      </c>
      <c r="F688" s="85">
        <v>22.42</v>
      </c>
      <c r="G688" s="83" t="s">
        <v>885</v>
      </c>
      <c r="H688" s="83" t="s">
        <v>1360</v>
      </c>
      <c r="I688" s="85">
        <f>Planejamento2024[[#This Row],[Qnt de Itens]]*Planejamento2024[[#This Row],[Valor unitário]]</f>
        <v>1121</v>
      </c>
      <c r="J688" s="83" t="s">
        <v>20</v>
      </c>
      <c r="K688" s="83" t="s">
        <v>478</v>
      </c>
      <c r="L688" s="86">
        <v>45292</v>
      </c>
      <c r="M688" s="83" t="s">
        <v>20</v>
      </c>
      <c r="N688" s="87" t="s">
        <v>1361</v>
      </c>
      <c r="O688" s="83" t="s">
        <v>827</v>
      </c>
    </row>
    <row r="689" spans="1:15" ht="54">
      <c r="A689" s="81">
        <f t="shared" si="10"/>
        <v>688</v>
      </c>
      <c r="B689" s="82" t="s">
        <v>1542</v>
      </c>
      <c r="C689" s="83" t="s">
        <v>34</v>
      </c>
      <c r="D689" s="83" t="s">
        <v>35</v>
      </c>
      <c r="E689" s="84">
        <v>200</v>
      </c>
      <c r="F689" s="85">
        <v>26.35</v>
      </c>
      <c r="G689" s="83" t="s">
        <v>885</v>
      </c>
      <c r="H689" s="83" t="s">
        <v>1360</v>
      </c>
      <c r="I689" s="85">
        <f>Planejamento2024[[#This Row],[Qnt de Itens]]*Planejamento2024[[#This Row],[Valor unitário]]</f>
        <v>5270</v>
      </c>
      <c r="J689" s="83" t="s">
        <v>20</v>
      </c>
      <c r="K689" s="83" t="s">
        <v>478</v>
      </c>
      <c r="L689" s="86">
        <v>45292</v>
      </c>
      <c r="M689" s="83" t="s">
        <v>20</v>
      </c>
      <c r="N689" s="87" t="s">
        <v>1361</v>
      </c>
      <c r="O689" s="83" t="s">
        <v>827</v>
      </c>
    </row>
    <row r="690" spans="1:15" ht="54">
      <c r="A690" s="81">
        <f t="shared" si="10"/>
        <v>689</v>
      </c>
      <c r="B690" s="82" t="s">
        <v>1543</v>
      </c>
      <c r="C690" s="83" t="s">
        <v>34</v>
      </c>
      <c r="D690" s="83" t="s">
        <v>35</v>
      </c>
      <c r="E690" s="84">
        <v>200</v>
      </c>
      <c r="F690" s="85">
        <v>33.53</v>
      </c>
      <c r="G690" s="83" t="s">
        <v>885</v>
      </c>
      <c r="H690" s="83" t="s">
        <v>1360</v>
      </c>
      <c r="I690" s="85">
        <f>Planejamento2024[[#This Row],[Qnt de Itens]]*Planejamento2024[[#This Row],[Valor unitário]]</f>
        <v>6706</v>
      </c>
      <c r="J690" s="83" t="s">
        <v>20</v>
      </c>
      <c r="K690" s="83" t="s">
        <v>478</v>
      </c>
      <c r="L690" s="86">
        <v>45292</v>
      </c>
      <c r="M690" s="83" t="s">
        <v>20</v>
      </c>
      <c r="N690" s="87" t="s">
        <v>1361</v>
      </c>
      <c r="O690" s="83" t="s">
        <v>827</v>
      </c>
    </row>
    <row r="691" spans="1:15" ht="36">
      <c r="A691" s="81">
        <f t="shared" si="10"/>
        <v>690</v>
      </c>
      <c r="B691" s="82" t="s">
        <v>1544</v>
      </c>
      <c r="C691" s="83" t="s">
        <v>34</v>
      </c>
      <c r="D691" s="83" t="s">
        <v>35</v>
      </c>
      <c r="E691" s="84">
        <v>200</v>
      </c>
      <c r="F691" s="85">
        <v>29.91</v>
      </c>
      <c r="G691" s="83" t="s">
        <v>885</v>
      </c>
      <c r="H691" s="83" t="s">
        <v>1360</v>
      </c>
      <c r="I691" s="85">
        <f>Planejamento2024[[#This Row],[Qnt de Itens]]*Planejamento2024[[#This Row],[Valor unitário]]</f>
        <v>5982</v>
      </c>
      <c r="J691" s="83" t="s">
        <v>20</v>
      </c>
      <c r="K691" s="83" t="s">
        <v>478</v>
      </c>
      <c r="L691" s="86">
        <v>45292</v>
      </c>
      <c r="M691" s="83" t="s">
        <v>20</v>
      </c>
      <c r="N691" s="87" t="s">
        <v>1361</v>
      </c>
      <c r="O691" s="83" t="s">
        <v>827</v>
      </c>
    </row>
    <row r="692" spans="1:15" ht="27">
      <c r="A692" s="81">
        <f t="shared" si="10"/>
        <v>691</v>
      </c>
      <c r="B692" s="82" t="s">
        <v>1545</v>
      </c>
      <c r="C692" s="83" t="s">
        <v>34</v>
      </c>
      <c r="D692" s="83" t="s">
        <v>35</v>
      </c>
      <c r="E692" s="84">
        <v>50</v>
      </c>
      <c r="F692" s="85">
        <v>647.37</v>
      </c>
      <c r="G692" s="83" t="s">
        <v>885</v>
      </c>
      <c r="H692" s="83" t="s">
        <v>1360</v>
      </c>
      <c r="I692" s="85">
        <f>Planejamento2024[[#This Row],[Qnt de Itens]]*Planejamento2024[[#This Row],[Valor unitário]]</f>
        <v>32368.5</v>
      </c>
      <c r="J692" s="83" t="s">
        <v>20</v>
      </c>
      <c r="K692" s="83" t="s">
        <v>478</v>
      </c>
      <c r="L692" s="86">
        <v>45292</v>
      </c>
      <c r="M692" s="83" t="s">
        <v>20</v>
      </c>
      <c r="N692" s="87" t="s">
        <v>1361</v>
      </c>
      <c r="O692" s="83" t="s">
        <v>827</v>
      </c>
    </row>
    <row r="693" spans="1:15" ht="36">
      <c r="A693" s="81">
        <f t="shared" si="10"/>
        <v>692</v>
      </c>
      <c r="B693" s="82" t="s">
        <v>1546</v>
      </c>
      <c r="C693" s="83" t="s">
        <v>34</v>
      </c>
      <c r="D693" s="83" t="s">
        <v>35</v>
      </c>
      <c r="E693" s="84">
        <v>50</v>
      </c>
      <c r="F693" s="85">
        <v>604.47</v>
      </c>
      <c r="G693" s="83" t="s">
        <v>885</v>
      </c>
      <c r="H693" s="83" t="s">
        <v>1360</v>
      </c>
      <c r="I693" s="85">
        <f>Planejamento2024[[#This Row],[Qnt de Itens]]*Planejamento2024[[#This Row],[Valor unitário]]</f>
        <v>30223.5</v>
      </c>
      <c r="J693" s="83" t="s">
        <v>20</v>
      </c>
      <c r="K693" s="83" t="s">
        <v>478</v>
      </c>
      <c r="L693" s="86">
        <v>45292</v>
      </c>
      <c r="M693" s="83" t="s">
        <v>20</v>
      </c>
      <c r="N693" s="87" t="s">
        <v>1361</v>
      </c>
      <c r="O693" s="83" t="s">
        <v>827</v>
      </c>
    </row>
    <row r="694" spans="1:15" ht="27">
      <c r="A694" s="81">
        <f t="shared" si="10"/>
        <v>693</v>
      </c>
      <c r="B694" s="82" t="s">
        <v>1547</v>
      </c>
      <c r="C694" s="83" t="s">
        <v>34</v>
      </c>
      <c r="D694" s="83" t="s">
        <v>35</v>
      </c>
      <c r="E694" s="84">
        <v>50</v>
      </c>
      <c r="F694" s="85">
        <v>428.17</v>
      </c>
      <c r="G694" s="83" t="s">
        <v>885</v>
      </c>
      <c r="H694" s="83" t="s">
        <v>1360</v>
      </c>
      <c r="I694" s="85">
        <f>Planejamento2024[[#This Row],[Qnt de Itens]]*Planejamento2024[[#This Row],[Valor unitário]]</f>
        <v>21408.5</v>
      </c>
      <c r="J694" s="83" t="s">
        <v>20</v>
      </c>
      <c r="K694" s="83" t="s">
        <v>478</v>
      </c>
      <c r="L694" s="86">
        <v>45292</v>
      </c>
      <c r="M694" s="83" t="s">
        <v>20</v>
      </c>
      <c r="N694" s="87" t="s">
        <v>1361</v>
      </c>
      <c r="O694" s="83" t="s">
        <v>827</v>
      </c>
    </row>
    <row r="695" spans="1:15" ht="18">
      <c r="A695" s="81">
        <f t="shared" si="10"/>
        <v>694</v>
      </c>
      <c r="B695" s="82" t="s">
        <v>1548</v>
      </c>
      <c r="C695" s="83" t="s">
        <v>34</v>
      </c>
      <c r="D695" s="83" t="s">
        <v>35</v>
      </c>
      <c r="E695" s="84">
        <v>300</v>
      </c>
      <c r="F695" s="85">
        <v>18.23</v>
      </c>
      <c r="G695" s="83" t="s">
        <v>885</v>
      </c>
      <c r="H695" s="83" t="s">
        <v>1360</v>
      </c>
      <c r="I695" s="85">
        <f>Planejamento2024[[#This Row],[Qnt de Itens]]*Planejamento2024[[#This Row],[Valor unitário]]</f>
        <v>5469</v>
      </c>
      <c r="J695" s="83" t="s">
        <v>20</v>
      </c>
      <c r="K695" s="83" t="s">
        <v>478</v>
      </c>
      <c r="L695" s="86">
        <v>45292</v>
      </c>
      <c r="M695" s="83" t="s">
        <v>20</v>
      </c>
      <c r="N695" s="87" t="s">
        <v>1361</v>
      </c>
      <c r="O695" s="83" t="s">
        <v>827</v>
      </c>
    </row>
    <row r="696" spans="1:15" ht="18">
      <c r="A696" s="81">
        <f t="shared" si="10"/>
        <v>695</v>
      </c>
      <c r="B696" s="82" t="s">
        <v>1549</v>
      </c>
      <c r="C696" s="83" t="s">
        <v>34</v>
      </c>
      <c r="D696" s="83" t="s">
        <v>35</v>
      </c>
      <c r="E696" s="84">
        <v>300</v>
      </c>
      <c r="F696" s="85">
        <v>14.95</v>
      </c>
      <c r="G696" s="83" t="s">
        <v>885</v>
      </c>
      <c r="H696" s="83" t="s">
        <v>1360</v>
      </c>
      <c r="I696" s="85">
        <f>Planejamento2024[[#This Row],[Qnt de Itens]]*Planejamento2024[[#This Row],[Valor unitário]]</f>
        <v>4485</v>
      </c>
      <c r="J696" s="83" t="s">
        <v>20</v>
      </c>
      <c r="K696" s="83" t="s">
        <v>478</v>
      </c>
      <c r="L696" s="86">
        <v>45292</v>
      </c>
      <c r="M696" s="83" t="s">
        <v>20</v>
      </c>
      <c r="N696" s="87" t="s">
        <v>1361</v>
      </c>
      <c r="O696" s="83" t="s">
        <v>827</v>
      </c>
    </row>
    <row r="697" spans="1:15" ht="18">
      <c r="A697" s="81">
        <f t="shared" si="10"/>
        <v>696</v>
      </c>
      <c r="B697" s="82" t="s">
        <v>1550</v>
      </c>
      <c r="C697" s="83" t="s">
        <v>34</v>
      </c>
      <c r="D697" s="83" t="s">
        <v>35</v>
      </c>
      <c r="E697" s="84">
        <v>200</v>
      </c>
      <c r="F697" s="85">
        <v>11.49</v>
      </c>
      <c r="G697" s="83" t="s">
        <v>885</v>
      </c>
      <c r="H697" s="83" t="s">
        <v>1360</v>
      </c>
      <c r="I697" s="85">
        <f>Planejamento2024[[#This Row],[Qnt de Itens]]*Planejamento2024[[#This Row],[Valor unitário]]</f>
        <v>2298</v>
      </c>
      <c r="J697" s="83" t="s">
        <v>20</v>
      </c>
      <c r="K697" s="83" t="s">
        <v>478</v>
      </c>
      <c r="L697" s="86">
        <v>45292</v>
      </c>
      <c r="M697" s="83" t="s">
        <v>20</v>
      </c>
      <c r="N697" s="87" t="s">
        <v>1361</v>
      </c>
      <c r="O697" s="83" t="s">
        <v>827</v>
      </c>
    </row>
    <row r="698" spans="1:15" ht="18">
      <c r="A698" s="81">
        <f t="shared" si="10"/>
        <v>697</v>
      </c>
      <c r="B698" s="82" t="s">
        <v>1551</v>
      </c>
      <c r="C698" s="83" t="s">
        <v>34</v>
      </c>
      <c r="D698" s="83" t="s">
        <v>35</v>
      </c>
      <c r="E698" s="84">
        <v>300</v>
      </c>
      <c r="F698" s="85">
        <v>6.2</v>
      </c>
      <c r="G698" s="83" t="s">
        <v>885</v>
      </c>
      <c r="H698" s="83" t="s">
        <v>1360</v>
      </c>
      <c r="I698" s="85">
        <f>Planejamento2024[[#This Row],[Qnt de Itens]]*Planejamento2024[[#This Row],[Valor unitário]]</f>
        <v>1860</v>
      </c>
      <c r="J698" s="83" t="s">
        <v>20</v>
      </c>
      <c r="K698" s="83" t="s">
        <v>478</v>
      </c>
      <c r="L698" s="86">
        <v>45292</v>
      </c>
      <c r="M698" s="83" t="s">
        <v>20</v>
      </c>
      <c r="N698" s="87" t="s">
        <v>1361</v>
      </c>
      <c r="O698" s="83" t="s">
        <v>827</v>
      </c>
    </row>
    <row r="699" spans="1:15" ht="27">
      <c r="A699" s="81">
        <f t="shared" si="10"/>
        <v>698</v>
      </c>
      <c r="B699" s="82" t="s">
        <v>1552</v>
      </c>
      <c r="C699" s="83" t="s">
        <v>34</v>
      </c>
      <c r="D699" s="83" t="s">
        <v>35</v>
      </c>
      <c r="E699" s="84">
        <v>200</v>
      </c>
      <c r="F699" s="85">
        <v>10.34</v>
      </c>
      <c r="G699" s="83" t="s">
        <v>885</v>
      </c>
      <c r="H699" s="83" t="s">
        <v>1360</v>
      </c>
      <c r="I699" s="85">
        <f>Planejamento2024[[#This Row],[Qnt de Itens]]*Planejamento2024[[#This Row],[Valor unitário]]</f>
        <v>2068</v>
      </c>
      <c r="J699" s="83" t="s">
        <v>20</v>
      </c>
      <c r="K699" s="83" t="s">
        <v>478</v>
      </c>
      <c r="L699" s="86">
        <v>45292</v>
      </c>
      <c r="M699" s="83" t="s">
        <v>20</v>
      </c>
      <c r="N699" s="87" t="s">
        <v>1361</v>
      </c>
      <c r="O699" s="83" t="s">
        <v>827</v>
      </c>
    </row>
    <row r="700" spans="1:15" ht="18">
      <c r="A700" s="81">
        <f t="shared" si="10"/>
        <v>699</v>
      </c>
      <c r="B700" s="82" t="s">
        <v>1553</v>
      </c>
      <c r="C700" s="83" t="s">
        <v>34</v>
      </c>
      <c r="D700" s="83" t="s">
        <v>35</v>
      </c>
      <c r="E700" s="84">
        <v>200</v>
      </c>
      <c r="F700" s="85">
        <v>12.05</v>
      </c>
      <c r="G700" s="83" t="s">
        <v>885</v>
      </c>
      <c r="H700" s="83" t="s">
        <v>1360</v>
      </c>
      <c r="I700" s="85">
        <f>Planejamento2024[[#This Row],[Qnt de Itens]]*Planejamento2024[[#This Row],[Valor unitário]]</f>
        <v>2410</v>
      </c>
      <c r="J700" s="83" t="s">
        <v>20</v>
      </c>
      <c r="K700" s="83" t="s">
        <v>478</v>
      </c>
      <c r="L700" s="86">
        <v>45292</v>
      </c>
      <c r="M700" s="83" t="s">
        <v>20</v>
      </c>
      <c r="N700" s="87" t="s">
        <v>1361</v>
      </c>
      <c r="O700" s="83" t="s">
        <v>827</v>
      </c>
    </row>
    <row r="701" spans="1:15" ht="27">
      <c r="A701" s="81">
        <f t="shared" si="10"/>
        <v>700</v>
      </c>
      <c r="B701" s="82" t="s">
        <v>1554</v>
      </c>
      <c r="C701" s="83" t="s">
        <v>34</v>
      </c>
      <c r="D701" s="83" t="s">
        <v>35</v>
      </c>
      <c r="E701" s="84">
        <v>100</v>
      </c>
      <c r="F701" s="85">
        <v>7.78</v>
      </c>
      <c r="G701" s="83" t="s">
        <v>885</v>
      </c>
      <c r="H701" s="83" t="s">
        <v>1360</v>
      </c>
      <c r="I701" s="85">
        <f>Planejamento2024[[#This Row],[Qnt de Itens]]*Planejamento2024[[#This Row],[Valor unitário]]</f>
        <v>778</v>
      </c>
      <c r="J701" s="83" t="s">
        <v>20</v>
      </c>
      <c r="K701" s="83" t="s">
        <v>478</v>
      </c>
      <c r="L701" s="86">
        <v>45292</v>
      </c>
      <c r="M701" s="83" t="s">
        <v>20</v>
      </c>
      <c r="N701" s="87" t="s">
        <v>1361</v>
      </c>
      <c r="O701" s="83" t="s">
        <v>827</v>
      </c>
    </row>
    <row r="702" spans="1:15" ht="27">
      <c r="A702" s="81">
        <f t="shared" si="10"/>
        <v>701</v>
      </c>
      <c r="B702" s="82" t="s">
        <v>1555</v>
      </c>
      <c r="C702" s="83" t="s">
        <v>34</v>
      </c>
      <c r="D702" s="83" t="s">
        <v>35</v>
      </c>
      <c r="E702" s="84">
        <v>100</v>
      </c>
      <c r="F702" s="85">
        <v>7.78</v>
      </c>
      <c r="G702" s="83" t="s">
        <v>885</v>
      </c>
      <c r="H702" s="83" t="s">
        <v>1360</v>
      </c>
      <c r="I702" s="85">
        <f>Planejamento2024[[#This Row],[Qnt de Itens]]*Planejamento2024[[#This Row],[Valor unitário]]</f>
        <v>778</v>
      </c>
      <c r="J702" s="83" t="s">
        <v>20</v>
      </c>
      <c r="K702" s="83" t="s">
        <v>478</v>
      </c>
      <c r="L702" s="86">
        <v>45292</v>
      </c>
      <c r="M702" s="83" t="s">
        <v>20</v>
      </c>
      <c r="N702" s="87" t="s">
        <v>1361</v>
      </c>
      <c r="O702" s="83" t="s">
        <v>827</v>
      </c>
    </row>
    <row r="703" spans="1:15" ht="18">
      <c r="A703" s="81">
        <f t="shared" si="10"/>
        <v>702</v>
      </c>
      <c r="B703" s="82" t="s">
        <v>1556</v>
      </c>
      <c r="C703" s="83" t="s">
        <v>34</v>
      </c>
      <c r="D703" s="83" t="s">
        <v>35</v>
      </c>
      <c r="E703" s="84">
        <v>300</v>
      </c>
      <c r="F703" s="85">
        <v>39.47</v>
      </c>
      <c r="G703" s="83" t="s">
        <v>885</v>
      </c>
      <c r="H703" s="83" t="s">
        <v>1360</v>
      </c>
      <c r="I703" s="85">
        <f>Planejamento2024[[#This Row],[Qnt de Itens]]*Planejamento2024[[#This Row],[Valor unitário]]</f>
        <v>11841</v>
      </c>
      <c r="J703" s="83" t="s">
        <v>20</v>
      </c>
      <c r="K703" s="83" t="s">
        <v>478</v>
      </c>
      <c r="L703" s="86">
        <v>45292</v>
      </c>
      <c r="M703" s="83" t="s">
        <v>20</v>
      </c>
      <c r="N703" s="87" t="s">
        <v>1361</v>
      </c>
      <c r="O703" s="83" t="s">
        <v>827</v>
      </c>
    </row>
    <row r="704" spans="1:15" ht="18">
      <c r="A704" s="81">
        <f t="shared" si="10"/>
        <v>703</v>
      </c>
      <c r="B704" s="82" t="s">
        <v>1557</v>
      </c>
      <c r="C704" s="83" t="s">
        <v>34</v>
      </c>
      <c r="D704" s="83" t="s">
        <v>35</v>
      </c>
      <c r="E704" s="84">
        <v>200</v>
      </c>
      <c r="F704" s="85">
        <v>141.81</v>
      </c>
      <c r="G704" s="83" t="s">
        <v>885</v>
      </c>
      <c r="H704" s="83" t="s">
        <v>1360</v>
      </c>
      <c r="I704" s="85">
        <f>Planejamento2024[[#This Row],[Qnt de Itens]]*Planejamento2024[[#This Row],[Valor unitário]]</f>
        <v>28362</v>
      </c>
      <c r="J704" s="83" t="s">
        <v>20</v>
      </c>
      <c r="K704" s="83" t="s">
        <v>478</v>
      </c>
      <c r="L704" s="86">
        <v>45292</v>
      </c>
      <c r="M704" s="83" t="s">
        <v>20</v>
      </c>
      <c r="N704" s="87" t="s">
        <v>1361</v>
      </c>
      <c r="O704" s="83" t="s">
        <v>827</v>
      </c>
    </row>
    <row r="705" spans="1:15" ht="27">
      <c r="A705" s="81">
        <f t="shared" si="10"/>
        <v>704</v>
      </c>
      <c r="B705" s="82" t="s">
        <v>1558</v>
      </c>
      <c r="C705" s="83" t="s">
        <v>34</v>
      </c>
      <c r="D705" s="83" t="s">
        <v>35</v>
      </c>
      <c r="E705" s="84">
        <v>200</v>
      </c>
      <c r="F705" s="85">
        <v>13.32</v>
      </c>
      <c r="G705" s="83" t="s">
        <v>885</v>
      </c>
      <c r="H705" s="83" t="s">
        <v>1360</v>
      </c>
      <c r="I705" s="85">
        <f>Planejamento2024[[#This Row],[Qnt de Itens]]*Planejamento2024[[#This Row],[Valor unitário]]</f>
        <v>2664</v>
      </c>
      <c r="J705" s="83" t="s">
        <v>20</v>
      </c>
      <c r="K705" s="83" t="s">
        <v>478</v>
      </c>
      <c r="L705" s="86">
        <v>45292</v>
      </c>
      <c r="M705" s="83" t="s">
        <v>20</v>
      </c>
      <c r="N705" s="87" t="s">
        <v>1361</v>
      </c>
      <c r="O705" s="83" t="s">
        <v>827</v>
      </c>
    </row>
    <row r="706" spans="1:15" ht="18">
      <c r="A706" s="81">
        <f t="shared" ref="A706:A769" si="11">ROW(A705)</f>
        <v>705</v>
      </c>
      <c r="B706" s="82" t="s">
        <v>1559</v>
      </c>
      <c r="C706" s="83" t="s">
        <v>34</v>
      </c>
      <c r="D706" s="83" t="s">
        <v>35</v>
      </c>
      <c r="E706" s="84">
        <v>500</v>
      </c>
      <c r="F706" s="85">
        <v>121.7</v>
      </c>
      <c r="G706" s="83" t="s">
        <v>885</v>
      </c>
      <c r="H706" s="83" t="s">
        <v>1360</v>
      </c>
      <c r="I706" s="85">
        <f>Planejamento2024[[#This Row],[Qnt de Itens]]*Planejamento2024[[#This Row],[Valor unitário]]</f>
        <v>60850</v>
      </c>
      <c r="J706" s="83" t="s">
        <v>20</v>
      </c>
      <c r="K706" s="83" t="s">
        <v>478</v>
      </c>
      <c r="L706" s="86">
        <v>45292</v>
      </c>
      <c r="M706" s="83" t="s">
        <v>20</v>
      </c>
      <c r="N706" s="87" t="s">
        <v>1361</v>
      </c>
      <c r="O706" s="83" t="s">
        <v>827</v>
      </c>
    </row>
    <row r="707" spans="1:15" ht="18">
      <c r="A707" s="81">
        <f t="shared" si="11"/>
        <v>706</v>
      </c>
      <c r="B707" s="82" t="s">
        <v>1560</v>
      </c>
      <c r="C707" s="83" t="s">
        <v>34</v>
      </c>
      <c r="D707" s="83" t="s">
        <v>35</v>
      </c>
      <c r="E707" s="84">
        <v>200</v>
      </c>
      <c r="F707" s="85">
        <v>20.64</v>
      </c>
      <c r="G707" s="83" t="s">
        <v>885</v>
      </c>
      <c r="H707" s="83" t="s">
        <v>1360</v>
      </c>
      <c r="I707" s="85">
        <f>Planejamento2024[[#This Row],[Qnt de Itens]]*Planejamento2024[[#This Row],[Valor unitário]]</f>
        <v>4128</v>
      </c>
      <c r="J707" s="83" t="s">
        <v>20</v>
      </c>
      <c r="K707" s="83" t="s">
        <v>478</v>
      </c>
      <c r="L707" s="86">
        <v>45292</v>
      </c>
      <c r="M707" s="83" t="s">
        <v>20</v>
      </c>
      <c r="N707" s="87" t="s">
        <v>1361</v>
      </c>
      <c r="O707" s="83" t="s">
        <v>827</v>
      </c>
    </row>
    <row r="708" spans="1:15" ht="18">
      <c r="A708" s="81">
        <f t="shared" si="11"/>
        <v>707</v>
      </c>
      <c r="B708" s="82" t="s">
        <v>1561</v>
      </c>
      <c r="C708" s="83" t="s">
        <v>34</v>
      </c>
      <c r="D708" s="83" t="s">
        <v>35</v>
      </c>
      <c r="E708" s="84">
        <v>200</v>
      </c>
      <c r="F708" s="85">
        <v>7.63</v>
      </c>
      <c r="G708" s="83" t="s">
        <v>885</v>
      </c>
      <c r="H708" s="83" t="s">
        <v>1360</v>
      </c>
      <c r="I708" s="85">
        <f>Planejamento2024[[#This Row],[Qnt de Itens]]*Planejamento2024[[#This Row],[Valor unitário]]</f>
        <v>1526</v>
      </c>
      <c r="J708" s="83" t="s">
        <v>20</v>
      </c>
      <c r="K708" s="83" t="s">
        <v>478</v>
      </c>
      <c r="L708" s="86">
        <v>45292</v>
      </c>
      <c r="M708" s="83" t="s">
        <v>20</v>
      </c>
      <c r="N708" s="87" t="s">
        <v>1361</v>
      </c>
      <c r="O708" s="83" t="s">
        <v>827</v>
      </c>
    </row>
    <row r="709" spans="1:15" ht="18">
      <c r="A709" s="81">
        <f t="shared" si="11"/>
        <v>708</v>
      </c>
      <c r="B709" s="82" t="s">
        <v>1562</v>
      </c>
      <c r="C709" s="83" t="s">
        <v>34</v>
      </c>
      <c r="D709" s="83" t="s">
        <v>35</v>
      </c>
      <c r="E709" s="84">
        <v>200</v>
      </c>
      <c r="F709" s="85">
        <v>11.06</v>
      </c>
      <c r="G709" s="83" t="s">
        <v>885</v>
      </c>
      <c r="H709" s="83" t="s">
        <v>1360</v>
      </c>
      <c r="I709" s="85">
        <f>Planejamento2024[[#This Row],[Qnt de Itens]]*Planejamento2024[[#This Row],[Valor unitário]]</f>
        <v>2212</v>
      </c>
      <c r="J709" s="83" t="s">
        <v>20</v>
      </c>
      <c r="K709" s="83" t="s">
        <v>478</v>
      </c>
      <c r="L709" s="86">
        <v>45292</v>
      </c>
      <c r="M709" s="83" t="s">
        <v>20</v>
      </c>
      <c r="N709" s="87" t="s">
        <v>1361</v>
      </c>
      <c r="O709" s="83" t="s">
        <v>827</v>
      </c>
    </row>
    <row r="710" spans="1:15" ht="36">
      <c r="A710" s="81">
        <f t="shared" si="11"/>
        <v>709</v>
      </c>
      <c r="B710" s="82" t="s">
        <v>1563</v>
      </c>
      <c r="C710" s="83" t="s">
        <v>34</v>
      </c>
      <c r="D710" s="83" t="s">
        <v>35</v>
      </c>
      <c r="E710" s="84">
        <v>200</v>
      </c>
      <c r="F710" s="85">
        <v>22.06</v>
      </c>
      <c r="G710" s="83" t="s">
        <v>885</v>
      </c>
      <c r="H710" s="83" t="s">
        <v>1360</v>
      </c>
      <c r="I710" s="85">
        <f>Planejamento2024[[#This Row],[Qnt de Itens]]*Planejamento2024[[#This Row],[Valor unitário]]</f>
        <v>4412</v>
      </c>
      <c r="J710" s="83" t="s">
        <v>20</v>
      </c>
      <c r="K710" s="83" t="s">
        <v>478</v>
      </c>
      <c r="L710" s="86">
        <v>45292</v>
      </c>
      <c r="M710" s="83" t="s">
        <v>20</v>
      </c>
      <c r="N710" s="87" t="s">
        <v>1361</v>
      </c>
      <c r="O710" s="83" t="s">
        <v>827</v>
      </c>
    </row>
    <row r="711" spans="1:15" ht="27">
      <c r="A711" s="81">
        <f t="shared" si="11"/>
        <v>710</v>
      </c>
      <c r="B711" s="82" t="s">
        <v>1564</v>
      </c>
      <c r="C711" s="83" t="s">
        <v>34</v>
      </c>
      <c r="D711" s="83" t="s">
        <v>35</v>
      </c>
      <c r="E711" s="84">
        <v>200</v>
      </c>
      <c r="F711" s="85">
        <v>7.08</v>
      </c>
      <c r="G711" s="83" t="s">
        <v>885</v>
      </c>
      <c r="H711" s="83" t="s">
        <v>1360</v>
      </c>
      <c r="I711" s="85">
        <f>Planejamento2024[[#This Row],[Qnt de Itens]]*Planejamento2024[[#This Row],[Valor unitário]]</f>
        <v>1416</v>
      </c>
      <c r="J711" s="83" t="s">
        <v>20</v>
      </c>
      <c r="K711" s="83" t="s">
        <v>478</v>
      </c>
      <c r="L711" s="86">
        <v>45292</v>
      </c>
      <c r="M711" s="83" t="s">
        <v>20</v>
      </c>
      <c r="N711" s="87" t="s">
        <v>1361</v>
      </c>
      <c r="O711" s="83" t="s">
        <v>827</v>
      </c>
    </row>
    <row r="712" spans="1:15" ht="36">
      <c r="A712" s="81">
        <f t="shared" si="11"/>
        <v>711</v>
      </c>
      <c r="B712" s="82" t="s">
        <v>1565</v>
      </c>
      <c r="C712" s="83" t="s">
        <v>34</v>
      </c>
      <c r="D712" s="83" t="s">
        <v>35</v>
      </c>
      <c r="E712" s="84">
        <v>100</v>
      </c>
      <c r="F712" s="85">
        <v>40.47</v>
      </c>
      <c r="G712" s="83" t="s">
        <v>885</v>
      </c>
      <c r="H712" s="83" t="s">
        <v>1360</v>
      </c>
      <c r="I712" s="85">
        <f>Planejamento2024[[#This Row],[Qnt de Itens]]*Planejamento2024[[#This Row],[Valor unitário]]</f>
        <v>4047</v>
      </c>
      <c r="J712" s="83" t="s">
        <v>20</v>
      </c>
      <c r="K712" s="83" t="s">
        <v>478</v>
      </c>
      <c r="L712" s="86">
        <v>45292</v>
      </c>
      <c r="M712" s="83" t="s">
        <v>20</v>
      </c>
      <c r="N712" s="87" t="s">
        <v>1361</v>
      </c>
      <c r="O712" s="83" t="s">
        <v>827</v>
      </c>
    </row>
    <row r="713" spans="1:15" ht="18">
      <c r="A713" s="81">
        <f t="shared" si="11"/>
        <v>712</v>
      </c>
      <c r="B713" s="82" t="s">
        <v>1566</v>
      </c>
      <c r="C713" s="83" t="s">
        <v>34</v>
      </c>
      <c r="D713" s="83" t="s">
        <v>35</v>
      </c>
      <c r="E713" s="84">
        <v>100</v>
      </c>
      <c r="F713" s="85">
        <v>26.31</v>
      </c>
      <c r="G713" s="83" t="s">
        <v>885</v>
      </c>
      <c r="H713" s="83" t="s">
        <v>1360</v>
      </c>
      <c r="I713" s="85">
        <f>Planejamento2024[[#This Row],[Qnt de Itens]]*Planejamento2024[[#This Row],[Valor unitário]]</f>
        <v>2631</v>
      </c>
      <c r="J713" s="83" t="s">
        <v>20</v>
      </c>
      <c r="K713" s="83" t="s">
        <v>478</v>
      </c>
      <c r="L713" s="86">
        <v>45292</v>
      </c>
      <c r="M713" s="83" t="s">
        <v>20</v>
      </c>
      <c r="N713" s="87" t="s">
        <v>1361</v>
      </c>
      <c r="O713" s="83" t="s">
        <v>827</v>
      </c>
    </row>
    <row r="714" spans="1:15" ht="18">
      <c r="A714" s="81">
        <f t="shared" si="11"/>
        <v>713</v>
      </c>
      <c r="B714" s="82" t="s">
        <v>1567</v>
      </c>
      <c r="C714" s="83" t="s">
        <v>34</v>
      </c>
      <c r="D714" s="83" t="s">
        <v>35</v>
      </c>
      <c r="E714" s="84">
        <v>200</v>
      </c>
      <c r="F714" s="85">
        <v>23.88</v>
      </c>
      <c r="G714" s="83" t="s">
        <v>885</v>
      </c>
      <c r="H714" s="83" t="s">
        <v>1360</v>
      </c>
      <c r="I714" s="85">
        <f>Planejamento2024[[#This Row],[Qnt de Itens]]*Planejamento2024[[#This Row],[Valor unitário]]</f>
        <v>4776</v>
      </c>
      <c r="J714" s="83" t="s">
        <v>20</v>
      </c>
      <c r="K714" s="83" t="s">
        <v>478</v>
      </c>
      <c r="L714" s="86">
        <v>45292</v>
      </c>
      <c r="M714" s="83" t="s">
        <v>20</v>
      </c>
      <c r="N714" s="87" t="s">
        <v>1361</v>
      </c>
      <c r="O714" s="83" t="s">
        <v>827</v>
      </c>
    </row>
    <row r="715" spans="1:15" ht="36">
      <c r="A715" s="81">
        <f t="shared" si="11"/>
        <v>714</v>
      </c>
      <c r="B715" s="82" t="s">
        <v>1568</v>
      </c>
      <c r="C715" s="83" t="s">
        <v>34</v>
      </c>
      <c r="D715" s="83" t="s">
        <v>35</v>
      </c>
      <c r="E715" s="84">
        <v>400</v>
      </c>
      <c r="F715" s="85">
        <v>34.14</v>
      </c>
      <c r="G715" s="83" t="s">
        <v>885</v>
      </c>
      <c r="H715" s="83" t="s">
        <v>1360</v>
      </c>
      <c r="I715" s="85">
        <f>Planejamento2024[[#This Row],[Qnt de Itens]]*Planejamento2024[[#This Row],[Valor unitário]]</f>
        <v>13656</v>
      </c>
      <c r="J715" s="83" t="s">
        <v>20</v>
      </c>
      <c r="K715" s="83" t="s">
        <v>478</v>
      </c>
      <c r="L715" s="86">
        <v>45292</v>
      </c>
      <c r="M715" s="83" t="s">
        <v>20</v>
      </c>
      <c r="N715" s="87" t="s">
        <v>1361</v>
      </c>
      <c r="O715" s="83" t="s">
        <v>827</v>
      </c>
    </row>
    <row r="716" spans="1:15" ht="18">
      <c r="A716" s="81">
        <f t="shared" si="11"/>
        <v>715</v>
      </c>
      <c r="B716" s="82" t="s">
        <v>1569</v>
      </c>
      <c r="C716" s="83" t="s">
        <v>34</v>
      </c>
      <c r="D716" s="83" t="s">
        <v>35</v>
      </c>
      <c r="E716" s="84">
        <v>50</v>
      </c>
      <c r="F716" s="85">
        <v>12.15</v>
      </c>
      <c r="G716" s="83" t="s">
        <v>885</v>
      </c>
      <c r="H716" s="83" t="s">
        <v>1360</v>
      </c>
      <c r="I716" s="85">
        <f>Planejamento2024[[#This Row],[Qnt de Itens]]*Planejamento2024[[#This Row],[Valor unitário]]</f>
        <v>607.5</v>
      </c>
      <c r="J716" s="83" t="s">
        <v>20</v>
      </c>
      <c r="K716" s="83" t="s">
        <v>478</v>
      </c>
      <c r="L716" s="86">
        <v>45292</v>
      </c>
      <c r="M716" s="83" t="s">
        <v>20</v>
      </c>
      <c r="N716" s="87" t="s">
        <v>1361</v>
      </c>
      <c r="O716" s="83" t="s">
        <v>827</v>
      </c>
    </row>
    <row r="717" spans="1:15" ht="27">
      <c r="A717" s="81">
        <f t="shared" si="11"/>
        <v>716</v>
      </c>
      <c r="B717" s="82" t="s">
        <v>1570</v>
      </c>
      <c r="C717" s="83" t="s">
        <v>34</v>
      </c>
      <c r="D717" s="83" t="s">
        <v>35</v>
      </c>
      <c r="E717" s="84">
        <v>50</v>
      </c>
      <c r="F717" s="85">
        <v>12.45</v>
      </c>
      <c r="G717" s="83" t="s">
        <v>885</v>
      </c>
      <c r="H717" s="83" t="s">
        <v>1360</v>
      </c>
      <c r="I717" s="85">
        <f>Planejamento2024[[#This Row],[Qnt de Itens]]*Planejamento2024[[#This Row],[Valor unitário]]</f>
        <v>622.5</v>
      </c>
      <c r="J717" s="83" t="s">
        <v>20</v>
      </c>
      <c r="K717" s="83" t="s">
        <v>478</v>
      </c>
      <c r="L717" s="86">
        <v>45292</v>
      </c>
      <c r="M717" s="83" t="s">
        <v>20</v>
      </c>
      <c r="N717" s="87" t="s">
        <v>1361</v>
      </c>
      <c r="O717" s="83" t="s">
        <v>827</v>
      </c>
    </row>
    <row r="718" spans="1:15" ht="36">
      <c r="A718" s="81">
        <f t="shared" si="11"/>
        <v>717</v>
      </c>
      <c r="B718" s="82" t="s">
        <v>1571</v>
      </c>
      <c r="C718" s="83" t="s">
        <v>34</v>
      </c>
      <c r="D718" s="83" t="s">
        <v>35</v>
      </c>
      <c r="E718" s="84">
        <v>50</v>
      </c>
      <c r="F718" s="85">
        <v>25.25</v>
      </c>
      <c r="G718" s="83" t="s">
        <v>885</v>
      </c>
      <c r="H718" s="83" t="s">
        <v>1360</v>
      </c>
      <c r="I718" s="85">
        <f>Planejamento2024[[#This Row],[Qnt de Itens]]*Planejamento2024[[#This Row],[Valor unitário]]</f>
        <v>1262.5</v>
      </c>
      <c r="J718" s="83" t="s">
        <v>20</v>
      </c>
      <c r="K718" s="83" t="s">
        <v>478</v>
      </c>
      <c r="L718" s="86">
        <v>45292</v>
      </c>
      <c r="M718" s="83" t="s">
        <v>20</v>
      </c>
      <c r="N718" s="87" t="s">
        <v>1361</v>
      </c>
      <c r="O718" s="83" t="s">
        <v>827</v>
      </c>
    </row>
    <row r="719" spans="1:15" ht="27">
      <c r="A719" s="81">
        <f t="shared" si="11"/>
        <v>718</v>
      </c>
      <c r="B719" s="82" t="s">
        <v>1572</v>
      </c>
      <c r="C719" s="83" t="s">
        <v>34</v>
      </c>
      <c r="D719" s="83" t="s">
        <v>35</v>
      </c>
      <c r="E719" s="84">
        <v>300</v>
      </c>
      <c r="F719" s="85">
        <v>9.3000000000000007</v>
      </c>
      <c r="G719" s="83" t="s">
        <v>885</v>
      </c>
      <c r="H719" s="83" t="s">
        <v>1360</v>
      </c>
      <c r="I719" s="85">
        <f>Planejamento2024[[#This Row],[Qnt de Itens]]*Planejamento2024[[#This Row],[Valor unitário]]</f>
        <v>2790</v>
      </c>
      <c r="J719" s="83" t="s">
        <v>20</v>
      </c>
      <c r="K719" s="83" t="s">
        <v>478</v>
      </c>
      <c r="L719" s="86">
        <v>45292</v>
      </c>
      <c r="M719" s="83" t="s">
        <v>20</v>
      </c>
      <c r="N719" s="87" t="s">
        <v>1361</v>
      </c>
      <c r="O719" s="83" t="s">
        <v>827</v>
      </c>
    </row>
    <row r="720" spans="1:15" ht="36">
      <c r="A720" s="81">
        <f t="shared" si="11"/>
        <v>719</v>
      </c>
      <c r="B720" s="82" t="s">
        <v>1573</v>
      </c>
      <c r="C720" s="83" t="s">
        <v>34</v>
      </c>
      <c r="D720" s="83" t="s">
        <v>35</v>
      </c>
      <c r="E720" s="84">
        <v>50</v>
      </c>
      <c r="F720" s="85">
        <v>90.51</v>
      </c>
      <c r="G720" s="83" t="s">
        <v>885</v>
      </c>
      <c r="H720" s="83" t="s">
        <v>1360</v>
      </c>
      <c r="I720" s="85">
        <f>Planejamento2024[[#This Row],[Qnt de Itens]]*Planejamento2024[[#This Row],[Valor unitário]]</f>
        <v>4525.5</v>
      </c>
      <c r="J720" s="83" t="s">
        <v>20</v>
      </c>
      <c r="K720" s="83" t="s">
        <v>478</v>
      </c>
      <c r="L720" s="86">
        <v>45292</v>
      </c>
      <c r="M720" s="83" t="s">
        <v>20</v>
      </c>
      <c r="N720" s="87" t="s">
        <v>1361</v>
      </c>
      <c r="O720" s="83" t="s">
        <v>827</v>
      </c>
    </row>
    <row r="721" spans="1:15" ht="54">
      <c r="A721" s="81">
        <f t="shared" si="11"/>
        <v>720</v>
      </c>
      <c r="B721" s="82" t="s">
        <v>1574</v>
      </c>
      <c r="C721" s="83" t="s">
        <v>34</v>
      </c>
      <c r="D721" s="83" t="s">
        <v>35</v>
      </c>
      <c r="E721" s="84">
        <v>50</v>
      </c>
      <c r="F721" s="85">
        <v>323.35000000000002</v>
      </c>
      <c r="G721" s="83" t="s">
        <v>885</v>
      </c>
      <c r="H721" s="83" t="s">
        <v>1360</v>
      </c>
      <c r="I721" s="85">
        <f>Planejamento2024[[#This Row],[Qnt de Itens]]*Planejamento2024[[#This Row],[Valor unitário]]</f>
        <v>16167.500000000002</v>
      </c>
      <c r="J721" s="83" t="s">
        <v>20</v>
      </c>
      <c r="K721" s="83" t="s">
        <v>478</v>
      </c>
      <c r="L721" s="86">
        <v>45292</v>
      </c>
      <c r="M721" s="83" t="s">
        <v>20</v>
      </c>
      <c r="N721" s="87" t="s">
        <v>1361</v>
      </c>
      <c r="O721" s="83" t="s">
        <v>827</v>
      </c>
    </row>
    <row r="722" spans="1:15" ht="27">
      <c r="A722" s="81">
        <f t="shared" si="11"/>
        <v>721</v>
      </c>
      <c r="B722" s="82" t="s">
        <v>1575</v>
      </c>
      <c r="C722" s="83" t="s">
        <v>34</v>
      </c>
      <c r="D722" s="83" t="s">
        <v>35</v>
      </c>
      <c r="E722" s="84">
        <v>300</v>
      </c>
      <c r="F722" s="85">
        <v>52.26</v>
      </c>
      <c r="G722" s="83" t="s">
        <v>885</v>
      </c>
      <c r="H722" s="83" t="s">
        <v>1360</v>
      </c>
      <c r="I722" s="85">
        <f>Planejamento2024[[#This Row],[Qnt de Itens]]*Planejamento2024[[#This Row],[Valor unitário]]</f>
        <v>15678</v>
      </c>
      <c r="J722" s="83" t="s">
        <v>20</v>
      </c>
      <c r="K722" s="83" t="s">
        <v>478</v>
      </c>
      <c r="L722" s="86">
        <v>45292</v>
      </c>
      <c r="M722" s="83" t="s">
        <v>20</v>
      </c>
      <c r="N722" s="87" t="s">
        <v>1361</v>
      </c>
      <c r="O722" s="83" t="s">
        <v>827</v>
      </c>
    </row>
    <row r="723" spans="1:15" ht="27">
      <c r="A723" s="81">
        <f t="shared" si="11"/>
        <v>722</v>
      </c>
      <c r="B723" s="82" t="s">
        <v>1576</v>
      </c>
      <c r="C723" s="83" t="s">
        <v>34</v>
      </c>
      <c r="D723" s="83" t="s">
        <v>35</v>
      </c>
      <c r="E723" s="84">
        <v>50</v>
      </c>
      <c r="F723" s="85">
        <v>25.51</v>
      </c>
      <c r="G723" s="83" t="s">
        <v>885</v>
      </c>
      <c r="H723" s="83" t="s">
        <v>1360</v>
      </c>
      <c r="I723" s="85">
        <f>Planejamento2024[[#This Row],[Qnt de Itens]]*Planejamento2024[[#This Row],[Valor unitário]]</f>
        <v>1275.5</v>
      </c>
      <c r="J723" s="83" t="s">
        <v>20</v>
      </c>
      <c r="K723" s="83" t="s">
        <v>478</v>
      </c>
      <c r="L723" s="86">
        <v>45292</v>
      </c>
      <c r="M723" s="83" t="s">
        <v>20</v>
      </c>
      <c r="N723" s="87" t="s">
        <v>1361</v>
      </c>
      <c r="O723" s="83" t="s">
        <v>827</v>
      </c>
    </row>
    <row r="724" spans="1:15" ht="54">
      <c r="A724" s="81">
        <f t="shared" si="11"/>
        <v>723</v>
      </c>
      <c r="B724" s="82" t="s">
        <v>1577</v>
      </c>
      <c r="C724" s="83" t="s">
        <v>34</v>
      </c>
      <c r="D724" s="83" t="s">
        <v>35</v>
      </c>
      <c r="E724" s="84">
        <v>100</v>
      </c>
      <c r="F724" s="85">
        <v>47</v>
      </c>
      <c r="G724" s="83" t="s">
        <v>885</v>
      </c>
      <c r="H724" s="83" t="s">
        <v>1360</v>
      </c>
      <c r="I724" s="85">
        <f>Planejamento2024[[#This Row],[Qnt de Itens]]*Planejamento2024[[#This Row],[Valor unitário]]</f>
        <v>4700</v>
      </c>
      <c r="J724" s="83" t="s">
        <v>20</v>
      </c>
      <c r="K724" s="83" t="s">
        <v>478</v>
      </c>
      <c r="L724" s="86">
        <v>45292</v>
      </c>
      <c r="M724" s="83" t="s">
        <v>20</v>
      </c>
      <c r="N724" s="87" t="s">
        <v>1361</v>
      </c>
      <c r="O724" s="83" t="s">
        <v>827</v>
      </c>
    </row>
    <row r="725" spans="1:15" ht="36">
      <c r="A725" s="81">
        <f t="shared" si="11"/>
        <v>724</v>
      </c>
      <c r="B725" s="82" t="s">
        <v>1578</v>
      </c>
      <c r="C725" s="83" t="s">
        <v>34</v>
      </c>
      <c r="D725" s="83" t="s">
        <v>35</v>
      </c>
      <c r="E725" s="84">
        <v>300</v>
      </c>
      <c r="F725" s="85">
        <v>202.8</v>
      </c>
      <c r="G725" s="83" t="s">
        <v>885</v>
      </c>
      <c r="H725" s="83" t="s">
        <v>1360</v>
      </c>
      <c r="I725" s="85">
        <f>Planejamento2024[[#This Row],[Qnt de Itens]]*Planejamento2024[[#This Row],[Valor unitário]]</f>
        <v>60840</v>
      </c>
      <c r="J725" s="83" t="s">
        <v>20</v>
      </c>
      <c r="K725" s="83" t="s">
        <v>478</v>
      </c>
      <c r="L725" s="86">
        <v>45292</v>
      </c>
      <c r="M725" s="83" t="s">
        <v>20</v>
      </c>
      <c r="N725" s="87" t="s">
        <v>1361</v>
      </c>
      <c r="O725" s="83" t="s">
        <v>827</v>
      </c>
    </row>
    <row r="726" spans="1:15" ht="45">
      <c r="A726" s="81">
        <f t="shared" si="11"/>
        <v>725</v>
      </c>
      <c r="B726" s="82" t="s">
        <v>1579</v>
      </c>
      <c r="C726" s="83" t="s">
        <v>34</v>
      </c>
      <c r="D726" s="83" t="s">
        <v>35</v>
      </c>
      <c r="E726" s="84">
        <v>100</v>
      </c>
      <c r="F726" s="85">
        <v>388.71</v>
      </c>
      <c r="G726" s="83" t="s">
        <v>885</v>
      </c>
      <c r="H726" s="83" t="s">
        <v>1360</v>
      </c>
      <c r="I726" s="85">
        <f>Planejamento2024[[#This Row],[Qnt de Itens]]*Planejamento2024[[#This Row],[Valor unitário]]</f>
        <v>38871</v>
      </c>
      <c r="J726" s="83" t="s">
        <v>20</v>
      </c>
      <c r="K726" s="83" t="s">
        <v>478</v>
      </c>
      <c r="L726" s="86">
        <v>45292</v>
      </c>
      <c r="M726" s="83" t="s">
        <v>20</v>
      </c>
      <c r="N726" s="87" t="s">
        <v>1361</v>
      </c>
      <c r="O726" s="83" t="s">
        <v>827</v>
      </c>
    </row>
    <row r="727" spans="1:15" ht="45">
      <c r="A727" s="81">
        <f t="shared" si="11"/>
        <v>726</v>
      </c>
      <c r="B727" s="82" t="s">
        <v>1580</v>
      </c>
      <c r="C727" s="83" t="s">
        <v>34</v>
      </c>
      <c r="D727" s="83" t="s">
        <v>35</v>
      </c>
      <c r="E727" s="84">
        <v>300</v>
      </c>
      <c r="F727" s="85">
        <v>328</v>
      </c>
      <c r="G727" s="83" t="s">
        <v>885</v>
      </c>
      <c r="H727" s="83" t="s">
        <v>1360</v>
      </c>
      <c r="I727" s="85">
        <f>Planejamento2024[[#This Row],[Qnt de Itens]]*Planejamento2024[[#This Row],[Valor unitário]]</f>
        <v>98400</v>
      </c>
      <c r="J727" s="83" t="s">
        <v>20</v>
      </c>
      <c r="K727" s="83" t="s">
        <v>478</v>
      </c>
      <c r="L727" s="86">
        <v>45292</v>
      </c>
      <c r="M727" s="83" t="s">
        <v>20</v>
      </c>
      <c r="N727" s="87" t="s">
        <v>1361</v>
      </c>
      <c r="O727" s="83" t="s">
        <v>827</v>
      </c>
    </row>
    <row r="728" spans="1:15" ht="45">
      <c r="A728" s="81">
        <f t="shared" si="11"/>
        <v>727</v>
      </c>
      <c r="B728" s="82" t="s">
        <v>1581</v>
      </c>
      <c r="C728" s="83" t="s">
        <v>34</v>
      </c>
      <c r="D728" s="83" t="s">
        <v>35</v>
      </c>
      <c r="E728" s="84">
        <v>100</v>
      </c>
      <c r="F728" s="85">
        <v>379.1</v>
      </c>
      <c r="G728" s="83" t="s">
        <v>885</v>
      </c>
      <c r="H728" s="83" t="s">
        <v>1360</v>
      </c>
      <c r="I728" s="85">
        <f>Planejamento2024[[#This Row],[Qnt de Itens]]*Planejamento2024[[#This Row],[Valor unitário]]</f>
        <v>37910</v>
      </c>
      <c r="J728" s="83" t="s">
        <v>20</v>
      </c>
      <c r="K728" s="83" t="s">
        <v>478</v>
      </c>
      <c r="L728" s="86">
        <v>45292</v>
      </c>
      <c r="M728" s="83" t="s">
        <v>20</v>
      </c>
      <c r="N728" s="87" t="s">
        <v>1361</v>
      </c>
      <c r="O728" s="83" t="s">
        <v>827</v>
      </c>
    </row>
    <row r="729" spans="1:15" ht="63">
      <c r="A729" s="81">
        <f t="shared" si="11"/>
        <v>728</v>
      </c>
      <c r="B729" s="82" t="s">
        <v>1582</v>
      </c>
      <c r="C729" s="83" t="s">
        <v>34</v>
      </c>
      <c r="D729" s="83" t="s">
        <v>35</v>
      </c>
      <c r="E729" s="84">
        <v>100</v>
      </c>
      <c r="F729" s="85">
        <v>119.26</v>
      </c>
      <c r="G729" s="83" t="s">
        <v>885</v>
      </c>
      <c r="H729" s="83" t="s">
        <v>1360</v>
      </c>
      <c r="I729" s="85">
        <f>Planejamento2024[[#This Row],[Qnt de Itens]]*Planejamento2024[[#This Row],[Valor unitário]]</f>
        <v>11926</v>
      </c>
      <c r="J729" s="83" t="s">
        <v>20</v>
      </c>
      <c r="K729" s="83" t="s">
        <v>478</v>
      </c>
      <c r="L729" s="86">
        <v>45292</v>
      </c>
      <c r="M729" s="83" t="s">
        <v>20</v>
      </c>
      <c r="N729" s="87" t="s">
        <v>1361</v>
      </c>
      <c r="O729" s="83" t="s">
        <v>827</v>
      </c>
    </row>
    <row r="730" spans="1:15" ht="63">
      <c r="A730" s="81">
        <f t="shared" si="11"/>
        <v>729</v>
      </c>
      <c r="B730" s="82" t="s">
        <v>1583</v>
      </c>
      <c r="C730" s="83" t="s">
        <v>34</v>
      </c>
      <c r="D730" s="83" t="s">
        <v>35</v>
      </c>
      <c r="E730" s="84">
        <v>100</v>
      </c>
      <c r="F730" s="85">
        <v>128.91</v>
      </c>
      <c r="G730" s="83" t="s">
        <v>885</v>
      </c>
      <c r="H730" s="83" t="s">
        <v>1360</v>
      </c>
      <c r="I730" s="85">
        <f>Planejamento2024[[#This Row],[Qnt de Itens]]*Planejamento2024[[#This Row],[Valor unitário]]</f>
        <v>12891</v>
      </c>
      <c r="J730" s="83" t="s">
        <v>20</v>
      </c>
      <c r="K730" s="83" t="s">
        <v>478</v>
      </c>
      <c r="L730" s="86">
        <v>45292</v>
      </c>
      <c r="M730" s="83" t="s">
        <v>20</v>
      </c>
      <c r="N730" s="87" t="s">
        <v>1361</v>
      </c>
      <c r="O730" s="83" t="s">
        <v>827</v>
      </c>
    </row>
    <row r="731" spans="1:15" ht="63">
      <c r="A731" s="81">
        <f t="shared" si="11"/>
        <v>730</v>
      </c>
      <c r="B731" s="82" t="s">
        <v>1584</v>
      </c>
      <c r="C731" s="83" t="s">
        <v>34</v>
      </c>
      <c r="D731" s="83" t="s">
        <v>35</v>
      </c>
      <c r="E731" s="84">
        <v>100</v>
      </c>
      <c r="F731" s="85">
        <v>148.81</v>
      </c>
      <c r="G731" s="83" t="s">
        <v>885</v>
      </c>
      <c r="H731" s="83" t="s">
        <v>1360</v>
      </c>
      <c r="I731" s="85">
        <f>Planejamento2024[[#This Row],[Qnt de Itens]]*Planejamento2024[[#This Row],[Valor unitário]]</f>
        <v>14881</v>
      </c>
      <c r="J731" s="83" t="s">
        <v>20</v>
      </c>
      <c r="K731" s="83" t="s">
        <v>478</v>
      </c>
      <c r="L731" s="86">
        <v>45292</v>
      </c>
      <c r="M731" s="83" t="s">
        <v>20</v>
      </c>
      <c r="N731" s="87" t="s">
        <v>1361</v>
      </c>
      <c r="O731" s="83" t="s">
        <v>827</v>
      </c>
    </row>
    <row r="732" spans="1:15" ht="63">
      <c r="A732" s="81">
        <f t="shared" si="11"/>
        <v>731</v>
      </c>
      <c r="B732" s="82" t="s">
        <v>1585</v>
      </c>
      <c r="C732" s="83" t="s">
        <v>34</v>
      </c>
      <c r="D732" s="83" t="s">
        <v>35</v>
      </c>
      <c r="E732" s="84">
        <v>100</v>
      </c>
      <c r="F732" s="85">
        <v>337.92</v>
      </c>
      <c r="G732" s="83" t="s">
        <v>885</v>
      </c>
      <c r="H732" s="83" t="s">
        <v>1360</v>
      </c>
      <c r="I732" s="85">
        <f>Planejamento2024[[#This Row],[Qnt de Itens]]*Planejamento2024[[#This Row],[Valor unitário]]</f>
        <v>33792</v>
      </c>
      <c r="J732" s="83" t="s">
        <v>20</v>
      </c>
      <c r="K732" s="83" t="s">
        <v>478</v>
      </c>
      <c r="L732" s="86">
        <v>45292</v>
      </c>
      <c r="M732" s="83" t="s">
        <v>20</v>
      </c>
      <c r="N732" s="87" t="s">
        <v>1361</v>
      </c>
      <c r="O732" s="83" t="s">
        <v>827</v>
      </c>
    </row>
    <row r="733" spans="1:15" ht="63">
      <c r="A733" s="81">
        <f t="shared" si="11"/>
        <v>732</v>
      </c>
      <c r="B733" s="82" t="s">
        <v>1586</v>
      </c>
      <c r="C733" s="83" t="s">
        <v>34</v>
      </c>
      <c r="D733" s="83" t="s">
        <v>35</v>
      </c>
      <c r="E733" s="84">
        <v>100</v>
      </c>
      <c r="F733" s="85">
        <v>171.92</v>
      </c>
      <c r="G733" s="83" t="s">
        <v>885</v>
      </c>
      <c r="H733" s="83" t="s">
        <v>1360</v>
      </c>
      <c r="I733" s="85">
        <f>Planejamento2024[[#This Row],[Qnt de Itens]]*Planejamento2024[[#This Row],[Valor unitário]]</f>
        <v>17192</v>
      </c>
      <c r="J733" s="83" t="s">
        <v>20</v>
      </c>
      <c r="K733" s="83" t="s">
        <v>478</v>
      </c>
      <c r="L733" s="86">
        <v>45292</v>
      </c>
      <c r="M733" s="83" t="s">
        <v>20</v>
      </c>
      <c r="N733" s="87" t="s">
        <v>1361</v>
      </c>
      <c r="O733" s="83" t="s">
        <v>827</v>
      </c>
    </row>
    <row r="734" spans="1:15" ht="63">
      <c r="A734" s="81">
        <f t="shared" si="11"/>
        <v>733</v>
      </c>
      <c r="B734" s="82" t="s">
        <v>1587</v>
      </c>
      <c r="C734" s="83" t="s">
        <v>34</v>
      </c>
      <c r="D734" s="83" t="s">
        <v>35</v>
      </c>
      <c r="E734" s="84">
        <v>100</v>
      </c>
      <c r="F734" s="85">
        <v>181.49</v>
      </c>
      <c r="G734" s="83" t="s">
        <v>885</v>
      </c>
      <c r="H734" s="83" t="s">
        <v>1360</v>
      </c>
      <c r="I734" s="85">
        <f>Planejamento2024[[#This Row],[Qnt de Itens]]*Planejamento2024[[#This Row],[Valor unitário]]</f>
        <v>18149</v>
      </c>
      <c r="J734" s="83" t="s">
        <v>20</v>
      </c>
      <c r="K734" s="83" t="s">
        <v>478</v>
      </c>
      <c r="L734" s="86">
        <v>45292</v>
      </c>
      <c r="M734" s="83" t="s">
        <v>20</v>
      </c>
      <c r="N734" s="87" t="s">
        <v>1361</v>
      </c>
      <c r="O734" s="83" t="s">
        <v>827</v>
      </c>
    </row>
    <row r="735" spans="1:15" ht="63">
      <c r="A735" s="81">
        <f t="shared" si="11"/>
        <v>734</v>
      </c>
      <c r="B735" s="82" t="s">
        <v>1588</v>
      </c>
      <c r="C735" s="83" t="s">
        <v>34</v>
      </c>
      <c r="D735" s="83" t="s">
        <v>35</v>
      </c>
      <c r="E735" s="84">
        <v>100</v>
      </c>
      <c r="F735" s="85">
        <v>39.96</v>
      </c>
      <c r="G735" s="83" t="s">
        <v>885</v>
      </c>
      <c r="H735" s="83" t="s">
        <v>1360</v>
      </c>
      <c r="I735" s="85">
        <f>Planejamento2024[[#This Row],[Qnt de Itens]]*Planejamento2024[[#This Row],[Valor unitário]]</f>
        <v>3996</v>
      </c>
      <c r="J735" s="83" t="s">
        <v>20</v>
      </c>
      <c r="K735" s="83" t="s">
        <v>478</v>
      </c>
      <c r="L735" s="86">
        <v>45292</v>
      </c>
      <c r="M735" s="83" t="s">
        <v>20</v>
      </c>
      <c r="N735" s="87" t="s">
        <v>1361</v>
      </c>
      <c r="O735" s="83" t="s">
        <v>827</v>
      </c>
    </row>
    <row r="736" spans="1:15" ht="63">
      <c r="A736" s="81">
        <f t="shared" si="11"/>
        <v>735</v>
      </c>
      <c r="B736" s="82" t="s">
        <v>1589</v>
      </c>
      <c r="C736" s="83" t="s">
        <v>34</v>
      </c>
      <c r="D736" s="83" t="s">
        <v>35</v>
      </c>
      <c r="E736" s="84">
        <v>100</v>
      </c>
      <c r="F736" s="85">
        <v>50.76</v>
      </c>
      <c r="G736" s="83" t="s">
        <v>885</v>
      </c>
      <c r="H736" s="83" t="s">
        <v>1360</v>
      </c>
      <c r="I736" s="85">
        <f>Planejamento2024[[#This Row],[Qnt de Itens]]*Planejamento2024[[#This Row],[Valor unitário]]</f>
        <v>5076</v>
      </c>
      <c r="J736" s="83" t="s">
        <v>20</v>
      </c>
      <c r="K736" s="83" t="s">
        <v>478</v>
      </c>
      <c r="L736" s="86">
        <v>45292</v>
      </c>
      <c r="M736" s="83" t="s">
        <v>20</v>
      </c>
      <c r="N736" s="87" t="s">
        <v>1361</v>
      </c>
      <c r="O736" s="83" t="s">
        <v>827</v>
      </c>
    </row>
    <row r="737" spans="1:15" ht="63">
      <c r="A737" s="81">
        <f t="shared" si="11"/>
        <v>736</v>
      </c>
      <c r="B737" s="82" t="s">
        <v>1590</v>
      </c>
      <c r="C737" s="83" t="s">
        <v>34</v>
      </c>
      <c r="D737" s="83" t="s">
        <v>35</v>
      </c>
      <c r="E737" s="84">
        <v>100</v>
      </c>
      <c r="F737" s="85">
        <v>57</v>
      </c>
      <c r="G737" s="83" t="s">
        <v>885</v>
      </c>
      <c r="H737" s="83" t="s">
        <v>1360</v>
      </c>
      <c r="I737" s="85">
        <f>Planejamento2024[[#This Row],[Qnt de Itens]]*Planejamento2024[[#This Row],[Valor unitário]]</f>
        <v>5700</v>
      </c>
      <c r="J737" s="83" t="s">
        <v>20</v>
      </c>
      <c r="K737" s="83" t="s">
        <v>478</v>
      </c>
      <c r="L737" s="86">
        <v>45292</v>
      </c>
      <c r="M737" s="83" t="s">
        <v>20</v>
      </c>
      <c r="N737" s="87" t="s">
        <v>1361</v>
      </c>
      <c r="O737" s="83" t="s">
        <v>827</v>
      </c>
    </row>
    <row r="738" spans="1:15" ht="63">
      <c r="A738" s="81">
        <f t="shared" si="11"/>
        <v>737</v>
      </c>
      <c r="B738" s="82" t="s">
        <v>1591</v>
      </c>
      <c r="C738" s="83" t="s">
        <v>34</v>
      </c>
      <c r="D738" s="83" t="s">
        <v>35</v>
      </c>
      <c r="E738" s="84">
        <v>100</v>
      </c>
      <c r="F738" s="85">
        <v>73.86</v>
      </c>
      <c r="G738" s="83" t="s">
        <v>885</v>
      </c>
      <c r="H738" s="83" t="s">
        <v>1360</v>
      </c>
      <c r="I738" s="85">
        <f>Planejamento2024[[#This Row],[Qnt de Itens]]*Planejamento2024[[#This Row],[Valor unitário]]</f>
        <v>7386</v>
      </c>
      <c r="J738" s="83" t="s">
        <v>20</v>
      </c>
      <c r="K738" s="83" t="s">
        <v>478</v>
      </c>
      <c r="L738" s="86">
        <v>45292</v>
      </c>
      <c r="M738" s="83" t="s">
        <v>20</v>
      </c>
      <c r="N738" s="87" t="s">
        <v>1361</v>
      </c>
      <c r="O738" s="83" t="s">
        <v>827</v>
      </c>
    </row>
    <row r="739" spans="1:15" ht="54">
      <c r="A739" s="81">
        <f t="shared" si="11"/>
        <v>738</v>
      </c>
      <c r="B739" s="82" t="s">
        <v>1592</v>
      </c>
      <c r="C739" s="83" t="s">
        <v>34</v>
      </c>
      <c r="D739" s="83" t="s">
        <v>35</v>
      </c>
      <c r="E739" s="84">
        <v>300</v>
      </c>
      <c r="F739" s="85">
        <v>376.38</v>
      </c>
      <c r="G739" s="83" t="s">
        <v>885</v>
      </c>
      <c r="H739" s="83" t="s">
        <v>1360</v>
      </c>
      <c r="I739" s="85">
        <f>Planejamento2024[[#This Row],[Qnt de Itens]]*Planejamento2024[[#This Row],[Valor unitário]]</f>
        <v>112914</v>
      </c>
      <c r="J739" s="83" t="s">
        <v>20</v>
      </c>
      <c r="K739" s="83" t="s">
        <v>478</v>
      </c>
      <c r="L739" s="86">
        <v>45292</v>
      </c>
      <c r="M739" s="83" t="s">
        <v>20</v>
      </c>
      <c r="N739" s="87" t="s">
        <v>1361</v>
      </c>
      <c r="O739" s="83" t="s">
        <v>827</v>
      </c>
    </row>
    <row r="740" spans="1:15" ht="36">
      <c r="A740" s="81">
        <f t="shared" si="11"/>
        <v>739</v>
      </c>
      <c r="B740" s="82" t="s">
        <v>1593</v>
      </c>
      <c r="C740" s="83" t="s">
        <v>34</v>
      </c>
      <c r="D740" s="83" t="s">
        <v>35</v>
      </c>
      <c r="E740" s="84">
        <v>100</v>
      </c>
      <c r="F740" s="85">
        <v>570.85</v>
      </c>
      <c r="G740" s="83" t="s">
        <v>885</v>
      </c>
      <c r="H740" s="83" t="s">
        <v>1360</v>
      </c>
      <c r="I740" s="85">
        <f>Planejamento2024[[#This Row],[Qnt de Itens]]*Planejamento2024[[#This Row],[Valor unitário]]</f>
        <v>57085</v>
      </c>
      <c r="J740" s="83" t="s">
        <v>20</v>
      </c>
      <c r="K740" s="83" t="s">
        <v>478</v>
      </c>
      <c r="L740" s="86">
        <v>45292</v>
      </c>
      <c r="M740" s="83" t="s">
        <v>20</v>
      </c>
      <c r="N740" s="87" t="s">
        <v>1361</v>
      </c>
      <c r="O740" s="83" t="s">
        <v>827</v>
      </c>
    </row>
    <row r="741" spans="1:15" ht="36">
      <c r="A741" s="81">
        <f t="shared" si="11"/>
        <v>740</v>
      </c>
      <c r="B741" s="82" t="s">
        <v>1594</v>
      </c>
      <c r="C741" s="83" t="s">
        <v>34</v>
      </c>
      <c r="D741" s="83" t="s">
        <v>35</v>
      </c>
      <c r="E741" s="84">
        <v>100</v>
      </c>
      <c r="F741" s="85">
        <v>752.01</v>
      </c>
      <c r="G741" s="83" t="s">
        <v>885</v>
      </c>
      <c r="H741" s="83" t="s">
        <v>1360</v>
      </c>
      <c r="I741" s="85">
        <f>Planejamento2024[[#This Row],[Qnt de Itens]]*Planejamento2024[[#This Row],[Valor unitário]]</f>
        <v>75201</v>
      </c>
      <c r="J741" s="83" t="s">
        <v>20</v>
      </c>
      <c r="K741" s="83" t="s">
        <v>478</v>
      </c>
      <c r="L741" s="86">
        <v>45292</v>
      </c>
      <c r="M741" s="83" t="s">
        <v>20</v>
      </c>
      <c r="N741" s="87" t="s">
        <v>1361</v>
      </c>
      <c r="O741" s="83" t="s">
        <v>827</v>
      </c>
    </row>
    <row r="742" spans="1:15" ht="45">
      <c r="A742" s="81">
        <f t="shared" si="11"/>
        <v>741</v>
      </c>
      <c r="B742" s="82" t="s">
        <v>1595</v>
      </c>
      <c r="C742" s="83" t="s">
        <v>34</v>
      </c>
      <c r="D742" s="83" t="s">
        <v>35</v>
      </c>
      <c r="E742" s="84">
        <v>50</v>
      </c>
      <c r="F742" s="85">
        <v>333.99</v>
      </c>
      <c r="G742" s="83" t="s">
        <v>885</v>
      </c>
      <c r="H742" s="83" t="s">
        <v>1360</v>
      </c>
      <c r="I742" s="85">
        <f>Planejamento2024[[#This Row],[Qnt de Itens]]*Planejamento2024[[#This Row],[Valor unitário]]</f>
        <v>16699.5</v>
      </c>
      <c r="J742" s="83" t="s">
        <v>20</v>
      </c>
      <c r="K742" s="83" t="s">
        <v>478</v>
      </c>
      <c r="L742" s="86">
        <v>45292</v>
      </c>
      <c r="M742" s="83" t="s">
        <v>20</v>
      </c>
      <c r="N742" s="87" t="s">
        <v>1361</v>
      </c>
      <c r="O742" s="83" t="s">
        <v>827</v>
      </c>
    </row>
    <row r="743" spans="1:15" ht="45">
      <c r="A743" s="81">
        <f t="shared" si="11"/>
        <v>742</v>
      </c>
      <c r="B743" s="82" t="s">
        <v>1596</v>
      </c>
      <c r="C743" s="83" t="s">
        <v>34</v>
      </c>
      <c r="D743" s="83" t="s">
        <v>35</v>
      </c>
      <c r="E743" s="84">
        <v>50</v>
      </c>
      <c r="F743" s="85">
        <v>353.26</v>
      </c>
      <c r="G743" s="83" t="s">
        <v>885</v>
      </c>
      <c r="H743" s="83" t="s">
        <v>1360</v>
      </c>
      <c r="I743" s="85">
        <f>Planejamento2024[[#This Row],[Qnt de Itens]]*Planejamento2024[[#This Row],[Valor unitário]]</f>
        <v>17663</v>
      </c>
      <c r="J743" s="83" t="s">
        <v>20</v>
      </c>
      <c r="K743" s="83" t="s">
        <v>478</v>
      </c>
      <c r="L743" s="86">
        <v>45292</v>
      </c>
      <c r="M743" s="83" t="s">
        <v>20</v>
      </c>
      <c r="N743" s="87" t="s">
        <v>1361</v>
      </c>
      <c r="O743" s="83" t="s">
        <v>827</v>
      </c>
    </row>
    <row r="744" spans="1:15" ht="45">
      <c r="A744" s="81">
        <f t="shared" si="11"/>
        <v>743</v>
      </c>
      <c r="B744" s="82" t="s">
        <v>1597</v>
      </c>
      <c r="C744" s="83" t="s">
        <v>34</v>
      </c>
      <c r="D744" s="83" t="s">
        <v>35</v>
      </c>
      <c r="E744" s="84">
        <v>50</v>
      </c>
      <c r="F744" s="85">
        <v>482.13</v>
      </c>
      <c r="G744" s="83" t="s">
        <v>885</v>
      </c>
      <c r="H744" s="83" t="s">
        <v>1360</v>
      </c>
      <c r="I744" s="85">
        <f>Planejamento2024[[#This Row],[Qnt de Itens]]*Planejamento2024[[#This Row],[Valor unitário]]</f>
        <v>24106.5</v>
      </c>
      <c r="J744" s="83" t="s">
        <v>20</v>
      </c>
      <c r="K744" s="83" t="s">
        <v>478</v>
      </c>
      <c r="L744" s="86">
        <v>45292</v>
      </c>
      <c r="M744" s="83" t="s">
        <v>20</v>
      </c>
      <c r="N744" s="87" t="s">
        <v>1361</v>
      </c>
      <c r="O744" s="83" t="s">
        <v>827</v>
      </c>
    </row>
    <row r="745" spans="1:15" ht="27">
      <c r="A745" s="81">
        <f t="shared" si="11"/>
        <v>744</v>
      </c>
      <c r="B745" s="82" t="s">
        <v>1598</v>
      </c>
      <c r="C745" s="83" t="s">
        <v>34</v>
      </c>
      <c r="D745" s="83" t="s">
        <v>35</v>
      </c>
      <c r="E745" s="84">
        <v>300</v>
      </c>
      <c r="F745" s="85">
        <v>23.61</v>
      </c>
      <c r="G745" s="83" t="s">
        <v>885</v>
      </c>
      <c r="H745" s="83" t="s">
        <v>1360</v>
      </c>
      <c r="I745" s="85">
        <f>Planejamento2024[[#This Row],[Qnt de Itens]]*Planejamento2024[[#This Row],[Valor unitário]]</f>
        <v>7083</v>
      </c>
      <c r="J745" s="83" t="s">
        <v>20</v>
      </c>
      <c r="K745" s="83" t="s">
        <v>478</v>
      </c>
      <c r="L745" s="86">
        <v>45292</v>
      </c>
      <c r="M745" s="83" t="s">
        <v>20</v>
      </c>
      <c r="N745" s="87" t="s">
        <v>1361</v>
      </c>
      <c r="O745" s="83" t="s">
        <v>827</v>
      </c>
    </row>
    <row r="746" spans="1:15" ht="27">
      <c r="A746" s="81">
        <f t="shared" si="11"/>
        <v>745</v>
      </c>
      <c r="B746" s="82" t="s">
        <v>1599</v>
      </c>
      <c r="C746" s="83" t="s">
        <v>34</v>
      </c>
      <c r="D746" s="83" t="s">
        <v>35</v>
      </c>
      <c r="E746" s="84">
        <v>100</v>
      </c>
      <c r="F746" s="85">
        <v>42.89</v>
      </c>
      <c r="G746" s="83" t="s">
        <v>885</v>
      </c>
      <c r="H746" s="83" t="s">
        <v>1360</v>
      </c>
      <c r="I746" s="85">
        <f>Planejamento2024[[#This Row],[Qnt de Itens]]*Planejamento2024[[#This Row],[Valor unitário]]</f>
        <v>4289</v>
      </c>
      <c r="J746" s="83" t="s">
        <v>20</v>
      </c>
      <c r="K746" s="83" t="s">
        <v>478</v>
      </c>
      <c r="L746" s="86">
        <v>45292</v>
      </c>
      <c r="M746" s="83" t="s">
        <v>20</v>
      </c>
      <c r="N746" s="87" t="s">
        <v>1361</v>
      </c>
      <c r="O746" s="83" t="s">
        <v>827</v>
      </c>
    </row>
    <row r="747" spans="1:15" ht="27">
      <c r="A747" s="81">
        <f t="shared" si="11"/>
        <v>746</v>
      </c>
      <c r="B747" s="82" t="s">
        <v>1600</v>
      </c>
      <c r="C747" s="83" t="s">
        <v>34</v>
      </c>
      <c r="D747" s="83" t="s">
        <v>35</v>
      </c>
      <c r="E747" s="84">
        <v>50</v>
      </c>
      <c r="F747" s="85">
        <v>41.53</v>
      </c>
      <c r="G747" s="83" t="s">
        <v>885</v>
      </c>
      <c r="H747" s="83" t="s">
        <v>1360</v>
      </c>
      <c r="I747" s="85">
        <f>Planejamento2024[[#This Row],[Qnt de Itens]]*Planejamento2024[[#This Row],[Valor unitário]]</f>
        <v>2076.5</v>
      </c>
      <c r="J747" s="83" t="s">
        <v>20</v>
      </c>
      <c r="K747" s="83" t="s">
        <v>478</v>
      </c>
      <c r="L747" s="86">
        <v>45292</v>
      </c>
      <c r="M747" s="83" t="s">
        <v>20</v>
      </c>
      <c r="N747" s="87" t="s">
        <v>1361</v>
      </c>
      <c r="O747" s="83" t="s">
        <v>827</v>
      </c>
    </row>
    <row r="748" spans="1:15" ht="27">
      <c r="A748" s="81">
        <f t="shared" si="11"/>
        <v>747</v>
      </c>
      <c r="B748" s="82" t="s">
        <v>1601</v>
      </c>
      <c r="C748" s="83" t="s">
        <v>34</v>
      </c>
      <c r="D748" s="83" t="s">
        <v>35</v>
      </c>
      <c r="E748" s="84">
        <v>100</v>
      </c>
      <c r="F748" s="85">
        <v>48</v>
      </c>
      <c r="G748" s="83" t="s">
        <v>885</v>
      </c>
      <c r="H748" s="83" t="s">
        <v>1360</v>
      </c>
      <c r="I748" s="85">
        <f>Planejamento2024[[#This Row],[Qnt de Itens]]*Planejamento2024[[#This Row],[Valor unitário]]</f>
        <v>4800</v>
      </c>
      <c r="J748" s="83" t="s">
        <v>20</v>
      </c>
      <c r="K748" s="83" t="s">
        <v>478</v>
      </c>
      <c r="L748" s="86">
        <v>45292</v>
      </c>
      <c r="M748" s="83" t="s">
        <v>20</v>
      </c>
      <c r="N748" s="87" t="s">
        <v>1361</v>
      </c>
      <c r="O748" s="83" t="s">
        <v>827</v>
      </c>
    </row>
    <row r="749" spans="1:15" ht="27">
      <c r="A749" s="81">
        <f t="shared" si="11"/>
        <v>748</v>
      </c>
      <c r="B749" s="82" t="s">
        <v>1602</v>
      </c>
      <c r="C749" s="83" t="s">
        <v>34</v>
      </c>
      <c r="D749" s="83" t="s">
        <v>35</v>
      </c>
      <c r="E749" s="84">
        <v>100</v>
      </c>
      <c r="F749" s="85">
        <v>43.54</v>
      </c>
      <c r="G749" s="83" t="s">
        <v>885</v>
      </c>
      <c r="H749" s="83" t="s">
        <v>1360</v>
      </c>
      <c r="I749" s="85">
        <f>Planejamento2024[[#This Row],[Qnt de Itens]]*Planejamento2024[[#This Row],[Valor unitário]]</f>
        <v>4354</v>
      </c>
      <c r="J749" s="83" t="s">
        <v>20</v>
      </c>
      <c r="K749" s="83" t="s">
        <v>478</v>
      </c>
      <c r="L749" s="86">
        <v>45292</v>
      </c>
      <c r="M749" s="83" t="s">
        <v>20</v>
      </c>
      <c r="N749" s="87" t="s">
        <v>1361</v>
      </c>
      <c r="O749" s="83" t="s">
        <v>827</v>
      </c>
    </row>
    <row r="750" spans="1:15" ht="54">
      <c r="A750" s="81">
        <f t="shared" si="11"/>
        <v>749</v>
      </c>
      <c r="B750" s="82" t="s">
        <v>1603</v>
      </c>
      <c r="C750" s="83" t="s">
        <v>34</v>
      </c>
      <c r="D750" s="83" t="s">
        <v>35</v>
      </c>
      <c r="E750" s="84">
        <v>50</v>
      </c>
      <c r="F750" s="85">
        <v>98</v>
      </c>
      <c r="G750" s="83" t="s">
        <v>1496</v>
      </c>
      <c r="H750" s="83" t="s">
        <v>1360</v>
      </c>
      <c r="I750" s="85">
        <f>Planejamento2024[[#This Row],[Qnt de Itens]]*Planejamento2024[[#This Row],[Valor unitário]]</f>
        <v>4900</v>
      </c>
      <c r="J750" s="83" t="s">
        <v>20</v>
      </c>
      <c r="K750" s="83" t="s">
        <v>478</v>
      </c>
      <c r="L750" s="86">
        <v>45292</v>
      </c>
      <c r="M750" s="83" t="s">
        <v>20</v>
      </c>
      <c r="N750" s="87" t="s">
        <v>1361</v>
      </c>
      <c r="O750" s="83" t="s">
        <v>827</v>
      </c>
    </row>
    <row r="751" spans="1:15" ht="54">
      <c r="A751" s="81">
        <f t="shared" si="11"/>
        <v>750</v>
      </c>
      <c r="B751" s="82" t="s">
        <v>1604</v>
      </c>
      <c r="C751" s="83" t="s">
        <v>34</v>
      </c>
      <c r="D751" s="83" t="s">
        <v>35</v>
      </c>
      <c r="E751" s="84">
        <v>50</v>
      </c>
      <c r="F751" s="85">
        <v>61.89</v>
      </c>
      <c r="G751" s="83" t="s">
        <v>1496</v>
      </c>
      <c r="H751" s="83" t="s">
        <v>1360</v>
      </c>
      <c r="I751" s="85">
        <f>Planejamento2024[[#This Row],[Qnt de Itens]]*Planejamento2024[[#This Row],[Valor unitário]]</f>
        <v>3094.5</v>
      </c>
      <c r="J751" s="83" t="s">
        <v>20</v>
      </c>
      <c r="K751" s="83" t="s">
        <v>478</v>
      </c>
      <c r="L751" s="86">
        <v>45292</v>
      </c>
      <c r="M751" s="83" t="s">
        <v>20</v>
      </c>
      <c r="N751" s="87" t="s">
        <v>1361</v>
      </c>
      <c r="O751" s="83" t="s">
        <v>827</v>
      </c>
    </row>
    <row r="752" spans="1:15" ht="54">
      <c r="A752" s="81">
        <f t="shared" si="11"/>
        <v>751</v>
      </c>
      <c r="B752" s="82" t="s">
        <v>1605</v>
      </c>
      <c r="C752" s="83" t="s">
        <v>34</v>
      </c>
      <c r="D752" s="83" t="s">
        <v>35</v>
      </c>
      <c r="E752" s="84">
        <v>50</v>
      </c>
      <c r="F752" s="85">
        <v>51.48</v>
      </c>
      <c r="G752" s="83" t="s">
        <v>1496</v>
      </c>
      <c r="H752" s="83" t="s">
        <v>1360</v>
      </c>
      <c r="I752" s="85">
        <f>Planejamento2024[[#This Row],[Qnt de Itens]]*Planejamento2024[[#This Row],[Valor unitário]]</f>
        <v>2574</v>
      </c>
      <c r="J752" s="83" t="s">
        <v>20</v>
      </c>
      <c r="K752" s="83" t="s">
        <v>478</v>
      </c>
      <c r="L752" s="86">
        <v>45292</v>
      </c>
      <c r="M752" s="83" t="s">
        <v>20</v>
      </c>
      <c r="N752" s="87" t="s">
        <v>1361</v>
      </c>
      <c r="O752" s="83" t="s">
        <v>827</v>
      </c>
    </row>
    <row r="753" spans="1:15" ht="72">
      <c r="A753" s="81">
        <f t="shared" si="11"/>
        <v>752</v>
      </c>
      <c r="B753" s="82" t="s">
        <v>1606</v>
      </c>
      <c r="C753" s="83" t="s">
        <v>34</v>
      </c>
      <c r="D753" s="83" t="s">
        <v>35</v>
      </c>
      <c r="E753" s="84">
        <v>50</v>
      </c>
      <c r="F753" s="85">
        <v>5.46</v>
      </c>
      <c r="G753" s="83" t="s">
        <v>1496</v>
      </c>
      <c r="H753" s="83" t="s">
        <v>1360</v>
      </c>
      <c r="I753" s="85">
        <f>Planejamento2024[[#This Row],[Qnt de Itens]]*Planejamento2024[[#This Row],[Valor unitário]]</f>
        <v>273</v>
      </c>
      <c r="J753" s="83" t="s">
        <v>20</v>
      </c>
      <c r="K753" s="83" t="s">
        <v>478</v>
      </c>
      <c r="L753" s="86">
        <v>45292</v>
      </c>
      <c r="M753" s="83" t="s">
        <v>20</v>
      </c>
      <c r="N753" s="87" t="s">
        <v>1361</v>
      </c>
      <c r="O753" s="83" t="s">
        <v>827</v>
      </c>
    </row>
    <row r="754" spans="1:15" ht="54">
      <c r="A754" s="81">
        <f t="shared" si="11"/>
        <v>753</v>
      </c>
      <c r="B754" s="82" t="s">
        <v>1607</v>
      </c>
      <c r="C754" s="83" t="s">
        <v>34</v>
      </c>
      <c r="D754" s="83" t="s">
        <v>35</v>
      </c>
      <c r="E754" s="84">
        <v>50</v>
      </c>
      <c r="F754" s="85">
        <v>31.1</v>
      </c>
      <c r="G754" s="83" t="s">
        <v>1496</v>
      </c>
      <c r="H754" s="83" t="s">
        <v>1360</v>
      </c>
      <c r="I754" s="85">
        <f>Planejamento2024[[#This Row],[Qnt de Itens]]*Planejamento2024[[#This Row],[Valor unitário]]</f>
        <v>1555</v>
      </c>
      <c r="J754" s="83" t="s">
        <v>20</v>
      </c>
      <c r="K754" s="83" t="s">
        <v>478</v>
      </c>
      <c r="L754" s="86">
        <v>45292</v>
      </c>
      <c r="M754" s="83" t="s">
        <v>20</v>
      </c>
      <c r="N754" s="87" t="s">
        <v>1361</v>
      </c>
      <c r="O754" s="83" t="s">
        <v>827</v>
      </c>
    </row>
    <row r="755" spans="1:15" ht="54">
      <c r="A755" s="81">
        <f t="shared" si="11"/>
        <v>754</v>
      </c>
      <c r="B755" s="82" t="s">
        <v>1608</v>
      </c>
      <c r="C755" s="83" t="s">
        <v>34</v>
      </c>
      <c r="D755" s="83" t="s">
        <v>35</v>
      </c>
      <c r="E755" s="84">
        <v>50</v>
      </c>
      <c r="F755" s="85">
        <v>17.43</v>
      </c>
      <c r="G755" s="83" t="s">
        <v>1496</v>
      </c>
      <c r="H755" s="83" t="s">
        <v>1360</v>
      </c>
      <c r="I755" s="85">
        <f>Planejamento2024[[#This Row],[Qnt de Itens]]*Planejamento2024[[#This Row],[Valor unitário]]</f>
        <v>871.5</v>
      </c>
      <c r="J755" s="83" t="s">
        <v>20</v>
      </c>
      <c r="K755" s="83" t="s">
        <v>478</v>
      </c>
      <c r="L755" s="86">
        <v>45292</v>
      </c>
      <c r="M755" s="83" t="s">
        <v>20</v>
      </c>
      <c r="N755" s="87" t="s">
        <v>1361</v>
      </c>
      <c r="O755" s="83" t="s">
        <v>827</v>
      </c>
    </row>
    <row r="756" spans="1:15" ht="54">
      <c r="A756" s="81">
        <f t="shared" si="11"/>
        <v>755</v>
      </c>
      <c r="B756" s="82" t="s">
        <v>1609</v>
      </c>
      <c r="C756" s="83" t="s">
        <v>34</v>
      </c>
      <c r="D756" s="83" t="s">
        <v>35</v>
      </c>
      <c r="E756" s="84">
        <v>50</v>
      </c>
      <c r="F756" s="85">
        <v>12.94</v>
      </c>
      <c r="G756" s="83" t="s">
        <v>1496</v>
      </c>
      <c r="H756" s="83" t="s">
        <v>1360</v>
      </c>
      <c r="I756" s="85">
        <f>Planejamento2024[[#This Row],[Qnt de Itens]]*Planejamento2024[[#This Row],[Valor unitário]]</f>
        <v>647</v>
      </c>
      <c r="J756" s="83" t="s">
        <v>20</v>
      </c>
      <c r="K756" s="83" t="s">
        <v>478</v>
      </c>
      <c r="L756" s="86">
        <v>45292</v>
      </c>
      <c r="M756" s="83" t="s">
        <v>20</v>
      </c>
      <c r="N756" s="87" t="s">
        <v>1361</v>
      </c>
      <c r="O756" s="83" t="s">
        <v>827</v>
      </c>
    </row>
    <row r="757" spans="1:15" ht="45">
      <c r="A757" s="81">
        <f t="shared" si="11"/>
        <v>756</v>
      </c>
      <c r="B757" s="82" t="s">
        <v>1610</v>
      </c>
      <c r="C757" s="83" t="s">
        <v>34</v>
      </c>
      <c r="D757" s="83" t="s">
        <v>35</v>
      </c>
      <c r="E757" s="84">
        <v>50</v>
      </c>
      <c r="F757" s="85">
        <v>28.41</v>
      </c>
      <c r="G757" s="83" t="s">
        <v>1496</v>
      </c>
      <c r="H757" s="83" t="s">
        <v>1360</v>
      </c>
      <c r="I757" s="85">
        <f>Planejamento2024[[#This Row],[Qnt de Itens]]*Planejamento2024[[#This Row],[Valor unitário]]</f>
        <v>1420.5</v>
      </c>
      <c r="J757" s="83" t="s">
        <v>20</v>
      </c>
      <c r="K757" s="83" t="s">
        <v>478</v>
      </c>
      <c r="L757" s="86">
        <v>45292</v>
      </c>
      <c r="M757" s="83" t="s">
        <v>20</v>
      </c>
      <c r="N757" s="87" t="s">
        <v>1361</v>
      </c>
      <c r="O757" s="83" t="s">
        <v>827</v>
      </c>
    </row>
    <row r="758" spans="1:15" ht="18">
      <c r="A758" s="81">
        <f t="shared" si="11"/>
        <v>757</v>
      </c>
      <c r="B758" s="82" t="s">
        <v>1611</v>
      </c>
      <c r="C758" s="83" t="s">
        <v>25</v>
      </c>
      <c r="D758" s="83" t="s">
        <v>17</v>
      </c>
      <c r="E758" s="84">
        <v>12</v>
      </c>
      <c r="F758" s="88"/>
      <c r="G758" s="83" t="s">
        <v>18</v>
      </c>
      <c r="H758" s="83" t="s">
        <v>1360</v>
      </c>
      <c r="I758" s="85">
        <f>Planejamento2024[[#This Row],[Qnt de Itens]]*Planejamento2024[[#This Row],[Valor unitário]]</f>
        <v>0</v>
      </c>
      <c r="J758" s="83" t="s">
        <v>20</v>
      </c>
      <c r="K758" s="83" t="s">
        <v>415</v>
      </c>
      <c r="L758" s="86">
        <v>45292</v>
      </c>
      <c r="M758" s="83" t="s">
        <v>38</v>
      </c>
      <c r="N758" s="87"/>
      <c r="O758" s="83" t="s">
        <v>827</v>
      </c>
    </row>
    <row r="759" spans="1:15" ht="18">
      <c r="A759" s="81">
        <f t="shared" si="11"/>
        <v>758</v>
      </c>
      <c r="B759" s="82" t="s">
        <v>1612</v>
      </c>
      <c r="C759" s="83" t="s">
        <v>34</v>
      </c>
      <c r="D759" s="83" t="s">
        <v>35</v>
      </c>
      <c r="E759" s="84">
        <v>200</v>
      </c>
      <c r="F759" s="85">
        <v>17.170000000000002</v>
      </c>
      <c r="G759" s="83" t="s">
        <v>885</v>
      </c>
      <c r="H759" s="83" t="s">
        <v>1360</v>
      </c>
      <c r="I759" s="85">
        <f>Planejamento2024[[#This Row],[Qnt de Itens]]*Planejamento2024[[#This Row],[Valor unitário]]</f>
        <v>3434.0000000000005</v>
      </c>
      <c r="J759" s="83" t="s">
        <v>20</v>
      </c>
      <c r="K759" s="83" t="s">
        <v>478</v>
      </c>
      <c r="L759" s="86">
        <v>45292</v>
      </c>
      <c r="M759" s="83" t="s">
        <v>20</v>
      </c>
      <c r="N759" s="87" t="s">
        <v>1361</v>
      </c>
      <c r="O759" s="83" t="s">
        <v>827</v>
      </c>
    </row>
    <row r="760" spans="1:15" ht="18">
      <c r="A760" s="81">
        <f t="shared" si="11"/>
        <v>759</v>
      </c>
      <c r="B760" s="82" t="s">
        <v>1613</v>
      </c>
      <c r="C760" s="83" t="s">
        <v>34</v>
      </c>
      <c r="D760" s="83" t="s">
        <v>35</v>
      </c>
      <c r="E760" s="84">
        <v>200</v>
      </c>
      <c r="F760" s="85">
        <v>18.059999999999999</v>
      </c>
      <c r="G760" s="83" t="s">
        <v>885</v>
      </c>
      <c r="H760" s="83" t="s">
        <v>1360</v>
      </c>
      <c r="I760" s="85">
        <f>Planejamento2024[[#This Row],[Qnt de Itens]]*Planejamento2024[[#This Row],[Valor unitário]]</f>
        <v>3611.9999999999995</v>
      </c>
      <c r="J760" s="83" t="s">
        <v>20</v>
      </c>
      <c r="K760" s="83" t="s">
        <v>478</v>
      </c>
      <c r="L760" s="86">
        <v>45292</v>
      </c>
      <c r="M760" s="83" t="s">
        <v>20</v>
      </c>
      <c r="N760" s="87" t="s">
        <v>1361</v>
      </c>
      <c r="O760" s="83" t="s">
        <v>827</v>
      </c>
    </row>
    <row r="761" spans="1:15" ht="18">
      <c r="A761" s="81">
        <f t="shared" si="11"/>
        <v>760</v>
      </c>
      <c r="B761" s="82" t="s">
        <v>1614</v>
      </c>
      <c r="C761" s="83" t="s">
        <v>34</v>
      </c>
      <c r="D761" s="83" t="s">
        <v>35</v>
      </c>
      <c r="E761" s="84">
        <v>200</v>
      </c>
      <c r="F761" s="85">
        <v>21.03</v>
      </c>
      <c r="G761" s="83" t="s">
        <v>885</v>
      </c>
      <c r="H761" s="83" t="s">
        <v>1360</v>
      </c>
      <c r="I761" s="85">
        <f>Planejamento2024[[#This Row],[Qnt de Itens]]*Planejamento2024[[#This Row],[Valor unitário]]</f>
        <v>4206</v>
      </c>
      <c r="J761" s="83" t="s">
        <v>20</v>
      </c>
      <c r="K761" s="83" t="s">
        <v>478</v>
      </c>
      <c r="L761" s="86">
        <v>45292</v>
      </c>
      <c r="M761" s="83" t="s">
        <v>20</v>
      </c>
      <c r="N761" s="87" t="s">
        <v>1361</v>
      </c>
      <c r="O761" s="83" t="s">
        <v>827</v>
      </c>
    </row>
    <row r="762" spans="1:15" ht="18">
      <c r="A762" s="81">
        <f t="shared" si="11"/>
        <v>761</v>
      </c>
      <c r="B762" s="82" t="s">
        <v>1615</v>
      </c>
      <c r="C762" s="83" t="s">
        <v>34</v>
      </c>
      <c r="D762" s="83" t="s">
        <v>35</v>
      </c>
      <c r="E762" s="84">
        <v>200</v>
      </c>
      <c r="F762" s="85">
        <v>24.82</v>
      </c>
      <c r="G762" s="83" t="s">
        <v>885</v>
      </c>
      <c r="H762" s="83" t="s">
        <v>1360</v>
      </c>
      <c r="I762" s="85">
        <f>Planejamento2024[[#This Row],[Qnt de Itens]]*Planejamento2024[[#This Row],[Valor unitário]]</f>
        <v>4964</v>
      </c>
      <c r="J762" s="83" t="s">
        <v>20</v>
      </c>
      <c r="K762" s="83" t="s">
        <v>478</v>
      </c>
      <c r="L762" s="86">
        <v>45292</v>
      </c>
      <c r="M762" s="83" t="s">
        <v>20</v>
      </c>
      <c r="N762" s="87" t="s">
        <v>1361</v>
      </c>
      <c r="O762" s="83" t="s">
        <v>827</v>
      </c>
    </row>
    <row r="763" spans="1:15" ht="18">
      <c r="A763" s="81">
        <f t="shared" si="11"/>
        <v>762</v>
      </c>
      <c r="B763" s="82" t="s">
        <v>1616</v>
      </c>
      <c r="C763" s="83" t="s">
        <v>34</v>
      </c>
      <c r="D763" s="83" t="s">
        <v>35</v>
      </c>
      <c r="E763" s="84">
        <v>200</v>
      </c>
      <c r="F763" s="85">
        <v>81.680000000000007</v>
      </c>
      <c r="G763" s="83" t="s">
        <v>885</v>
      </c>
      <c r="H763" s="83" t="s">
        <v>1360</v>
      </c>
      <c r="I763" s="85">
        <f>Planejamento2024[[#This Row],[Qnt de Itens]]*Planejamento2024[[#This Row],[Valor unitário]]</f>
        <v>16336.000000000002</v>
      </c>
      <c r="J763" s="83" t="s">
        <v>20</v>
      </c>
      <c r="K763" s="83" t="s">
        <v>478</v>
      </c>
      <c r="L763" s="86">
        <v>45292</v>
      </c>
      <c r="M763" s="83" t="s">
        <v>20</v>
      </c>
      <c r="N763" s="87" t="s">
        <v>1361</v>
      </c>
      <c r="O763" s="83" t="s">
        <v>827</v>
      </c>
    </row>
    <row r="764" spans="1:15" ht="18">
      <c r="A764" s="81">
        <f t="shared" si="11"/>
        <v>763</v>
      </c>
      <c r="B764" s="82" t="s">
        <v>1617</v>
      </c>
      <c r="C764" s="83" t="s">
        <v>34</v>
      </c>
      <c r="D764" s="83" t="s">
        <v>35</v>
      </c>
      <c r="E764" s="84">
        <v>200</v>
      </c>
      <c r="F764" s="85">
        <v>83.69</v>
      </c>
      <c r="G764" s="83" t="s">
        <v>885</v>
      </c>
      <c r="H764" s="83" t="s">
        <v>1360</v>
      </c>
      <c r="I764" s="85">
        <f>Planejamento2024[[#This Row],[Qnt de Itens]]*Planejamento2024[[#This Row],[Valor unitário]]</f>
        <v>16738</v>
      </c>
      <c r="J764" s="83" t="s">
        <v>20</v>
      </c>
      <c r="K764" s="83" t="s">
        <v>478</v>
      </c>
      <c r="L764" s="86">
        <v>45292</v>
      </c>
      <c r="M764" s="83" t="s">
        <v>20</v>
      </c>
      <c r="N764" s="87" t="s">
        <v>1361</v>
      </c>
      <c r="O764" s="83" t="s">
        <v>827</v>
      </c>
    </row>
    <row r="765" spans="1:15" ht="18">
      <c r="A765" s="81">
        <f t="shared" si="11"/>
        <v>764</v>
      </c>
      <c r="B765" s="82" t="s">
        <v>1618</v>
      </c>
      <c r="C765" s="83" t="s">
        <v>34</v>
      </c>
      <c r="D765" s="83" t="s">
        <v>35</v>
      </c>
      <c r="E765" s="84">
        <v>300</v>
      </c>
      <c r="F765" s="85">
        <v>406.55</v>
      </c>
      <c r="G765" s="83" t="s">
        <v>885</v>
      </c>
      <c r="H765" s="83" t="s">
        <v>1360</v>
      </c>
      <c r="I765" s="85">
        <f>Planejamento2024[[#This Row],[Qnt de Itens]]*Planejamento2024[[#This Row],[Valor unitário]]</f>
        <v>121965</v>
      </c>
      <c r="J765" s="83" t="s">
        <v>20</v>
      </c>
      <c r="K765" s="83" t="s">
        <v>478</v>
      </c>
      <c r="L765" s="86">
        <v>45292</v>
      </c>
      <c r="M765" s="83" t="s">
        <v>20</v>
      </c>
      <c r="N765" s="87" t="s">
        <v>1361</v>
      </c>
      <c r="O765" s="83" t="s">
        <v>827</v>
      </c>
    </row>
    <row r="766" spans="1:15" ht="45">
      <c r="A766" s="81">
        <f t="shared" si="11"/>
        <v>765</v>
      </c>
      <c r="B766" s="82" t="s">
        <v>1619</v>
      </c>
      <c r="C766" s="83" t="s">
        <v>34</v>
      </c>
      <c r="D766" s="83" t="s">
        <v>35</v>
      </c>
      <c r="E766" s="84">
        <v>5</v>
      </c>
      <c r="F766" s="85">
        <v>1572.73</v>
      </c>
      <c r="G766" s="83" t="s">
        <v>885</v>
      </c>
      <c r="H766" s="83" t="s">
        <v>1360</v>
      </c>
      <c r="I766" s="85">
        <f>Planejamento2024[[#This Row],[Qnt de Itens]]*Planejamento2024[[#This Row],[Valor unitário]]</f>
        <v>7863.65</v>
      </c>
      <c r="J766" s="83" t="s">
        <v>20</v>
      </c>
      <c r="K766" s="83" t="s">
        <v>478</v>
      </c>
      <c r="L766" s="86">
        <v>45292</v>
      </c>
      <c r="M766" s="83" t="s">
        <v>20</v>
      </c>
      <c r="N766" s="87" t="s">
        <v>1361</v>
      </c>
      <c r="O766" s="83" t="s">
        <v>827</v>
      </c>
    </row>
    <row r="767" spans="1:15" ht="54">
      <c r="A767" s="81">
        <f t="shared" si="11"/>
        <v>766</v>
      </c>
      <c r="B767" s="82" t="s">
        <v>1620</v>
      </c>
      <c r="C767" s="83" t="s">
        <v>34</v>
      </c>
      <c r="D767" s="83" t="s">
        <v>35</v>
      </c>
      <c r="E767" s="84">
        <v>5</v>
      </c>
      <c r="F767" s="85">
        <v>1649.4</v>
      </c>
      <c r="G767" s="83" t="s">
        <v>885</v>
      </c>
      <c r="H767" s="83" t="s">
        <v>1360</v>
      </c>
      <c r="I767" s="85">
        <f>Planejamento2024[[#This Row],[Qnt de Itens]]*Planejamento2024[[#This Row],[Valor unitário]]</f>
        <v>8247</v>
      </c>
      <c r="J767" s="83" t="s">
        <v>20</v>
      </c>
      <c r="K767" s="83" t="s">
        <v>478</v>
      </c>
      <c r="L767" s="86">
        <v>45292</v>
      </c>
      <c r="M767" s="83" t="s">
        <v>20</v>
      </c>
      <c r="N767" s="87" t="s">
        <v>1361</v>
      </c>
      <c r="O767" s="83" t="s">
        <v>827</v>
      </c>
    </row>
    <row r="768" spans="1:15" ht="18">
      <c r="A768" s="81">
        <f t="shared" si="11"/>
        <v>767</v>
      </c>
      <c r="B768" s="82" t="s">
        <v>1621</v>
      </c>
      <c r="C768" s="83" t="s">
        <v>34</v>
      </c>
      <c r="D768" s="83" t="s">
        <v>35</v>
      </c>
      <c r="E768" s="84">
        <v>50</v>
      </c>
      <c r="F768" s="85">
        <v>23.96</v>
      </c>
      <c r="G768" s="83" t="s">
        <v>885</v>
      </c>
      <c r="H768" s="83" t="s">
        <v>1360</v>
      </c>
      <c r="I768" s="85">
        <f>Planejamento2024[[#This Row],[Qnt de Itens]]*Planejamento2024[[#This Row],[Valor unitário]]</f>
        <v>1198</v>
      </c>
      <c r="J768" s="83" t="s">
        <v>20</v>
      </c>
      <c r="K768" s="83" t="s">
        <v>478</v>
      </c>
      <c r="L768" s="86">
        <v>45292</v>
      </c>
      <c r="M768" s="83" t="s">
        <v>20</v>
      </c>
      <c r="N768" s="87" t="s">
        <v>1361</v>
      </c>
      <c r="O768" s="83" t="s">
        <v>827</v>
      </c>
    </row>
    <row r="769" spans="1:15" ht="27">
      <c r="A769" s="81">
        <f t="shared" si="11"/>
        <v>768</v>
      </c>
      <c r="B769" s="82" t="s">
        <v>1622</v>
      </c>
      <c r="C769" s="83" t="s">
        <v>34</v>
      </c>
      <c r="D769" s="83" t="s">
        <v>35</v>
      </c>
      <c r="E769" s="84">
        <v>50</v>
      </c>
      <c r="F769" s="85">
        <v>115.38</v>
      </c>
      <c r="G769" s="83" t="s">
        <v>885</v>
      </c>
      <c r="H769" s="83" t="s">
        <v>1360</v>
      </c>
      <c r="I769" s="85">
        <f>Planejamento2024[[#This Row],[Qnt de Itens]]*Planejamento2024[[#This Row],[Valor unitário]]</f>
        <v>5769</v>
      </c>
      <c r="J769" s="83" t="s">
        <v>20</v>
      </c>
      <c r="K769" s="83" t="s">
        <v>478</v>
      </c>
      <c r="L769" s="86">
        <v>45292</v>
      </c>
      <c r="M769" s="83" t="s">
        <v>20</v>
      </c>
      <c r="N769" s="87" t="s">
        <v>1361</v>
      </c>
      <c r="O769" s="83" t="s">
        <v>827</v>
      </c>
    </row>
    <row r="770" spans="1:15" ht="18">
      <c r="A770" s="81">
        <f t="shared" ref="A770:A833" si="12">ROW(A769)</f>
        <v>769</v>
      </c>
      <c r="B770" s="82" t="s">
        <v>1623</v>
      </c>
      <c r="C770" s="83" t="s">
        <v>34</v>
      </c>
      <c r="D770" s="83" t="s">
        <v>35</v>
      </c>
      <c r="E770" s="84">
        <v>300</v>
      </c>
      <c r="F770" s="85"/>
      <c r="G770" s="83" t="s">
        <v>885</v>
      </c>
      <c r="H770" s="83" t="s">
        <v>1360</v>
      </c>
      <c r="I770" s="85">
        <f>Planejamento2024[[#This Row],[Qnt de Itens]]*Planejamento2024[[#This Row],[Valor unitário]]</f>
        <v>0</v>
      </c>
      <c r="J770" s="83" t="s">
        <v>20</v>
      </c>
      <c r="K770" s="83" t="s">
        <v>478</v>
      </c>
      <c r="L770" s="86">
        <v>45292</v>
      </c>
      <c r="M770" s="83" t="s">
        <v>20</v>
      </c>
      <c r="N770" s="87" t="s">
        <v>1361</v>
      </c>
      <c r="O770" s="83" t="s">
        <v>827</v>
      </c>
    </row>
    <row r="771" spans="1:15" ht="45">
      <c r="A771" s="81">
        <f t="shared" si="12"/>
        <v>770</v>
      </c>
      <c r="B771" s="82" t="s">
        <v>1624</v>
      </c>
      <c r="C771" s="83" t="s">
        <v>34</v>
      </c>
      <c r="D771" s="83" t="s">
        <v>35</v>
      </c>
      <c r="E771" s="84">
        <v>100</v>
      </c>
      <c r="F771" s="85">
        <v>112.21</v>
      </c>
      <c r="G771" s="83" t="s">
        <v>885</v>
      </c>
      <c r="H771" s="83" t="s">
        <v>1360</v>
      </c>
      <c r="I771" s="85">
        <f>Planejamento2024[[#This Row],[Qnt de Itens]]*Planejamento2024[[#This Row],[Valor unitário]]</f>
        <v>11221</v>
      </c>
      <c r="J771" s="83" t="s">
        <v>20</v>
      </c>
      <c r="K771" s="83" t="s">
        <v>478</v>
      </c>
      <c r="L771" s="86">
        <v>45292</v>
      </c>
      <c r="M771" s="83" t="s">
        <v>20</v>
      </c>
      <c r="N771" s="87" t="s">
        <v>1361</v>
      </c>
      <c r="O771" s="83" t="s">
        <v>827</v>
      </c>
    </row>
    <row r="772" spans="1:15" ht="36">
      <c r="A772" s="81">
        <f t="shared" si="12"/>
        <v>771</v>
      </c>
      <c r="B772" s="82" t="s">
        <v>1625</v>
      </c>
      <c r="C772" s="83" t="s">
        <v>34</v>
      </c>
      <c r="D772" s="83" t="s">
        <v>35</v>
      </c>
      <c r="E772" s="84">
        <v>200</v>
      </c>
      <c r="F772" s="85">
        <v>101.56</v>
      </c>
      <c r="G772" s="83" t="s">
        <v>885</v>
      </c>
      <c r="H772" s="83" t="s">
        <v>1360</v>
      </c>
      <c r="I772" s="85">
        <f>Planejamento2024[[#This Row],[Qnt de Itens]]*Planejamento2024[[#This Row],[Valor unitário]]</f>
        <v>20312</v>
      </c>
      <c r="J772" s="83" t="s">
        <v>20</v>
      </c>
      <c r="K772" s="83" t="s">
        <v>478</v>
      </c>
      <c r="L772" s="86">
        <v>45292</v>
      </c>
      <c r="M772" s="83" t="s">
        <v>20</v>
      </c>
      <c r="N772" s="87" t="s">
        <v>1361</v>
      </c>
      <c r="O772" s="83" t="s">
        <v>827</v>
      </c>
    </row>
    <row r="773" spans="1:15" ht="18">
      <c r="A773" s="81">
        <f t="shared" si="12"/>
        <v>772</v>
      </c>
      <c r="B773" s="82" t="s">
        <v>1626</v>
      </c>
      <c r="C773" s="83" t="s">
        <v>34</v>
      </c>
      <c r="D773" s="83" t="s">
        <v>35</v>
      </c>
      <c r="E773" s="84">
        <v>200</v>
      </c>
      <c r="F773" s="85">
        <v>141.84</v>
      </c>
      <c r="G773" s="83" t="s">
        <v>885</v>
      </c>
      <c r="H773" s="83" t="s">
        <v>1360</v>
      </c>
      <c r="I773" s="85">
        <f>Planejamento2024[[#This Row],[Qnt de Itens]]*Planejamento2024[[#This Row],[Valor unitário]]</f>
        <v>28368</v>
      </c>
      <c r="J773" s="83" t="s">
        <v>20</v>
      </c>
      <c r="K773" s="83" t="s">
        <v>478</v>
      </c>
      <c r="L773" s="86">
        <v>45292</v>
      </c>
      <c r="M773" s="83" t="s">
        <v>20</v>
      </c>
      <c r="N773" s="87" t="s">
        <v>1361</v>
      </c>
      <c r="O773" s="83" t="s">
        <v>827</v>
      </c>
    </row>
    <row r="774" spans="1:15" ht="18">
      <c r="A774" s="81">
        <f t="shared" si="12"/>
        <v>773</v>
      </c>
      <c r="B774" s="82" t="s">
        <v>1627</v>
      </c>
      <c r="C774" s="83" t="s">
        <v>34</v>
      </c>
      <c r="D774" s="83" t="s">
        <v>35</v>
      </c>
      <c r="E774" s="84">
        <v>100</v>
      </c>
      <c r="F774" s="85">
        <v>45.92</v>
      </c>
      <c r="G774" s="83" t="s">
        <v>1628</v>
      </c>
      <c r="H774" s="83" t="s">
        <v>1360</v>
      </c>
      <c r="I774" s="85">
        <f>Planejamento2024[[#This Row],[Qnt de Itens]]*Planejamento2024[[#This Row],[Valor unitário]]</f>
        <v>4592</v>
      </c>
      <c r="J774" s="83" t="s">
        <v>20</v>
      </c>
      <c r="K774" s="83" t="s">
        <v>478</v>
      </c>
      <c r="L774" s="86">
        <v>45292</v>
      </c>
      <c r="M774" s="83" t="s">
        <v>20</v>
      </c>
      <c r="N774" s="87" t="s">
        <v>1361</v>
      </c>
      <c r="O774" s="83" t="s">
        <v>827</v>
      </c>
    </row>
    <row r="775" spans="1:15" ht="27">
      <c r="A775" s="81">
        <f t="shared" si="12"/>
        <v>774</v>
      </c>
      <c r="B775" s="82" t="s">
        <v>1629</v>
      </c>
      <c r="C775" s="83" t="s">
        <v>34</v>
      </c>
      <c r="D775" s="83" t="s">
        <v>35</v>
      </c>
      <c r="E775" s="84">
        <v>50</v>
      </c>
      <c r="F775" s="85">
        <v>198.93</v>
      </c>
      <c r="G775" s="83" t="s">
        <v>1628</v>
      </c>
      <c r="H775" s="83" t="s">
        <v>1360</v>
      </c>
      <c r="I775" s="85">
        <f>Planejamento2024[[#This Row],[Qnt de Itens]]*Planejamento2024[[#This Row],[Valor unitário]]</f>
        <v>9946.5</v>
      </c>
      <c r="J775" s="83" t="s">
        <v>20</v>
      </c>
      <c r="K775" s="83" t="s">
        <v>478</v>
      </c>
      <c r="L775" s="86">
        <v>45292</v>
      </c>
      <c r="M775" s="83" t="s">
        <v>20</v>
      </c>
      <c r="N775" s="87" t="s">
        <v>1361</v>
      </c>
      <c r="O775" s="83" t="s">
        <v>827</v>
      </c>
    </row>
    <row r="776" spans="1:15" ht="27">
      <c r="A776" s="81">
        <f t="shared" si="12"/>
        <v>775</v>
      </c>
      <c r="B776" s="82" t="s">
        <v>1630</v>
      </c>
      <c r="C776" s="83" t="s">
        <v>34</v>
      </c>
      <c r="D776" s="83" t="s">
        <v>35</v>
      </c>
      <c r="E776" s="84">
        <v>50</v>
      </c>
      <c r="F776" s="85">
        <v>573.95000000000005</v>
      </c>
      <c r="G776" s="83" t="s">
        <v>1628</v>
      </c>
      <c r="H776" s="83" t="s">
        <v>1360</v>
      </c>
      <c r="I776" s="85">
        <f>Planejamento2024[[#This Row],[Qnt de Itens]]*Planejamento2024[[#This Row],[Valor unitário]]</f>
        <v>28697.500000000004</v>
      </c>
      <c r="J776" s="83" t="s">
        <v>20</v>
      </c>
      <c r="K776" s="83" t="s">
        <v>478</v>
      </c>
      <c r="L776" s="86">
        <v>45292</v>
      </c>
      <c r="M776" s="83" t="s">
        <v>20</v>
      </c>
      <c r="N776" s="87" t="s">
        <v>1361</v>
      </c>
      <c r="O776" s="83" t="s">
        <v>827</v>
      </c>
    </row>
    <row r="777" spans="1:15" ht="27">
      <c r="A777" s="81">
        <f t="shared" si="12"/>
        <v>776</v>
      </c>
      <c r="B777" s="82" t="s">
        <v>1631</v>
      </c>
      <c r="C777" s="83" t="s">
        <v>34</v>
      </c>
      <c r="D777" s="83" t="s">
        <v>35</v>
      </c>
      <c r="E777" s="84">
        <v>100</v>
      </c>
      <c r="F777" s="85">
        <v>177.67</v>
      </c>
      <c r="G777" s="83" t="s">
        <v>885</v>
      </c>
      <c r="H777" s="83" t="s">
        <v>1360</v>
      </c>
      <c r="I777" s="85">
        <f>Planejamento2024[[#This Row],[Qnt de Itens]]*Planejamento2024[[#This Row],[Valor unitário]]</f>
        <v>17767</v>
      </c>
      <c r="J777" s="83" t="s">
        <v>20</v>
      </c>
      <c r="K777" s="83" t="s">
        <v>478</v>
      </c>
      <c r="L777" s="86">
        <v>45292</v>
      </c>
      <c r="M777" s="83" t="s">
        <v>20</v>
      </c>
      <c r="N777" s="87" t="s">
        <v>1361</v>
      </c>
      <c r="O777" s="83" t="s">
        <v>827</v>
      </c>
    </row>
    <row r="778" spans="1:15" ht="99">
      <c r="A778" s="81">
        <f t="shared" si="12"/>
        <v>777</v>
      </c>
      <c r="B778" s="82" t="s">
        <v>1632</v>
      </c>
      <c r="C778" s="83" t="s">
        <v>34</v>
      </c>
      <c r="D778" s="83" t="s">
        <v>35</v>
      </c>
      <c r="E778" s="84">
        <v>1</v>
      </c>
      <c r="F778" s="85">
        <v>643.29999999999995</v>
      </c>
      <c r="G778" s="83" t="s">
        <v>953</v>
      </c>
      <c r="H778" s="83" t="s">
        <v>1360</v>
      </c>
      <c r="I778" s="85">
        <f>Planejamento2024[[#This Row],[Qnt de Itens]]*Planejamento2024[[#This Row],[Valor unitário]]</f>
        <v>643.29999999999995</v>
      </c>
      <c r="J778" s="83" t="s">
        <v>20</v>
      </c>
      <c r="K778" s="83" t="s">
        <v>478</v>
      </c>
      <c r="L778" s="86">
        <v>45292</v>
      </c>
      <c r="M778" s="83" t="s">
        <v>20</v>
      </c>
      <c r="N778" s="87" t="s">
        <v>1361</v>
      </c>
      <c r="O778" s="83" t="s">
        <v>827</v>
      </c>
    </row>
    <row r="779" spans="1:15" ht="45">
      <c r="A779" s="81">
        <f t="shared" si="12"/>
        <v>778</v>
      </c>
      <c r="B779" s="82" t="s">
        <v>1633</v>
      </c>
      <c r="C779" s="83" t="s">
        <v>34</v>
      </c>
      <c r="D779" s="83" t="s">
        <v>35</v>
      </c>
      <c r="E779" s="84">
        <v>3</v>
      </c>
      <c r="F779" s="85">
        <v>664.1</v>
      </c>
      <c r="G779" s="83" t="s">
        <v>953</v>
      </c>
      <c r="H779" s="83" t="s">
        <v>1360</v>
      </c>
      <c r="I779" s="85">
        <f>Planejamento2024[[#This Row],[Qnt de Itens]]*Planejamento2024[[#This Row],[Valor unitário]]</f>
        <v>1992.3000000000002</v>
      </c>
      <c r="J779" s="83" t="s">
        <v>20</v>
      </c>
      <c r="K779" s="83" t="s">
        <v>478</v>
      </c>
      <c r="L779" s="86">
        <v>45292</v>
      </c>
      <c r="M779" s="83" t="s">
        <v>20</v>
      </c>
      <c r="N779" s="87" t="s">
        <v>1361</v>
      </c>
      <c r="O779" s="83" t="s">
        <v>827</v>
      </c>
    </row>
    <row r="780" spans="1:15" ht="36">
      <c r="A780" s="81">
        <f t="shared" si="12"/>
        <v>779</v>
      </c>
      <c r="B780" s="82" t="s">
        <v>1634</v>
      </c>
      <c r="C780" s="83" t="s">
        <v>34</v>
      </c>
      <c r="D780" s="83" t="s">
        <v>35</v>
      </c>
      <c r="E780" s="84">
        <v>300</v>
      </c>
      <c r="F780" s="85">
        <v>24.51</v>
      </c>
      <c r="G780" s="83" t="s">
        <v>885</v>
      </c>
      <c r="H780" s="83" t="s">
        <v>1360</v>
      </c>
      <c r="I780" s="85">
        <f>Planejamento2024[[#This Row],[Qnt de Itens]]*Planejamento2024[[#This Row],[Valor unitário]]</f>
        <v>7353.0000000000009</v>
      </c>
      <c r="J780" s="83" t="s">
        <v>20</v>
      </c>
      <c r="K780" s="83" t="s">
        <v>478</v>
      </c>
      <c r="L780" s="86">
        <v>45292</v>
      </c>
      <c r="M780" s="83" t="s">
        <v>20</v>
      </c>
      <c r="N780" s="87" t="s">
        <v>1361</v>
      </c>
      <c r="O780" s="83" t="s">
        <v>827</v>
      </c>
    </row>
    <row r="781" spans="1:15" ht="36">
      <c r="A781" s="81">
        <f t="shared" si="12"/>
        <v>780</v>
      </c>
      <c r="B781" s="82" t="s">
        <v>1635</v>
      </c>
      <c r="C781" s="83" t="s">
        <v>34</v>
      </c>
      <c r="D781" s="83" t="s">
        <v>35</v>
      </c>
      <c r="E781" s="84">
        <v>300</v>
      </c>
      <c r="F781" s="85">
        <v>37.18</v>
      </c>
      <c r="G781" s="83" t="s">
        <v>885</v>
      </c>
      <c r="H781" s="83" t="s">
        <v>1360</v>
      </c>
      <c r="I781" s="85">
        <f>Planejamento2024[[#This Row],[Qnt de Itens]]*Planejamento2024[[#This Row],[Valor unitário]]</f>
        <v>11154</v>
      </c>
      <c r="J781" s="83" t="s">
        <v>20</v>
      </c>
      <c r="K781" s="83" t="s">
        <v>478</v>
      </c>
      <c r="L781" s="86">
        <v>45292</v>
      </c>
      <c r="M781" s="83" t="s">
        <v>20</v>
      </c>
      <c r="N781" s="87" t="s">
        <v>1361</v>
      </c>
      <c r="O781" s="83" t="s">
        <v>827</v>
      </c>
    </row>
    <row r="782" spans="1:15" ht="63">
      <c r="A782" s="81">
        <f t="shared" si="12"/>
        <v>781</v>
      </c>
      <c r="B782" s="82" t="s">
        <v>1636</v>
      </c>
      <c r="C782" s="83" t="s">
        <v>34</v>
      </c>
      <c r="D782" s="83" t="s">
        <v>35</v>
      </c>
      <c r="E782" s="84">
        <v>300</v>
      </c>
      <c r="F782" s="85">
        <v>31.67</v>
      </c>
      <c r="G782" s="83" t="s">
        <v>1496</v>
      </c>
      <c r="H782" s="83" t="s">
        <v>1360</v>
      </c>
      <c r="I782" s="85">
        <f>Planejamento2024[[#This Row],[Qnt de Itens]]*Planejamento2024[[#This Row],[Valor unitário]]</f>
        <v>9501</v>
      </c>
      <c r="J782" s="83" t="s">
        <v>20</v>
      </c>
      <c r="K782" s="83" t="s">
        <v>478</v>
      </c>
      <c r="L782" s="86">
        <v>45292</v>
      </c>
      <c r="M782" s="83" t="s">
        <v>20</v>
      </c>
      <c r="N782" s="87" t="s">
        <v>1361</v>
      </c>
      <c r="O782" s="83" t="s">
        <v>827</v>
      </c>
    </row>
    <row r="783" spans="1:15" ht="18">
      <c r="A783" s="81">
        <f t="shared" si="12"/>
        <v>782</v>
      </c>
      <c r="B783" s="82" t="s">
        <v>1637</v>
      </c>
      <c r="C783" s="83" t="s">
        <v>34</v>
      </c>
      <c r="D783" s="83" t="s">
        <v>35</v>
      </c>
      <c r="E783" s="84">
        <v>100</v>
      </c>
      <c r="F783" s="85">
        <v>30.9</v>
      </c>
      <c r="G783" s="83" t="s">
        <v>885</v>
      </c>
      <c r="H783" s="83" t="s">
        <v>1360</v>
      </c>
      <c r="I783" s="85">
        <f>Planejamento2024[[#This Row],[Qnt de Itens]]*Planejamento2024[[#This Row],[Valor unitário]]</f>
        <v>3090</v>
      </c>
      <c r="J783" s="83" t="s">
        <v>20</v>
      </c>
      <c r="K783" s="83" t="s">
        <v>478</v>
      </c>
      <c r="L783" s="86">
        <v>45292</v>
      </c>
      <c r="M783" s="83" t="s">
        <v>20</v>
      </c>
      <c r="N783" s="87" t="s">
        <v>1361</v>
      </c>
      <c r="O783" s="83" t="s">
        <v>827</v>
      </c>
    </row>
    <row r="784" spans="1:15" ht="18">
      <c r="A784" s="81">
        <f t="shared" si="12"/>
        <v>783</v>
      </c>
      <c r="B784" s="82" t="s">
        <v>1638</v>
      </c>
      <c r="C784" s="83" t="s">
        <v>34</v>
      </c>
      <c r="D784" s="83" t="s">
        <v>35</v>
      </c>
      <c r="E784" s="84">
        <v>200</v>
      </c>
      <c r="F784" s="85">
        <v>247.56</v>
      </c>
      <c r="G784" s="83" t="s">
        <v>885</v>
      </c>
      <c r="H784" s="83" t="s">
        <v>1360</v>
      </c>
      <c r="I784" s="85">
        <f>Planejamento2024[[#This Row],[Qnt de Itens]]*Planejamento2024[[#This Row],[Valor unitário]]</f>
        <v>49512</v>
      </c>
      <c r="J784" s="83" t="s">
        <v>20</v>
      </c>
      <c r="K784" s="83" t="s">
        <v>478</v>
      </c>
      <c r="L784" s="86">
        <v>45292</v>
      </c>
      <c r="M784" s="83" t="s">
        <v>20</v>
      </c>
      <c r="N784" s="87" t="s">
        <v>1361</v>
      </c>
      <c r="O784" s="83" t="s">
        <v>827</v>
      </c>
    </row>
    <row r="785" spans="1:15" ht="18">
      <c r="A785" s="81">
        <f t="shared" si="12"/>
        <v>784</v>
      </c>
      <c r="B785" s="82" t="s">
        <v>1639</v>
      </c>
      <c r="C785" s="83" t="s">
        <v>34</v>
      </c>
      <c r="D785" s="83" t="s">
        <v>35</v>
      </c>
      <c r="E785" s="84">
        <v>200</v>
      </c>
      <c r="F785" s="85">
        <v>259.05</v>
      </c>
      <c r="G785" s="83" t="s">
        <v>885</v>
      </c>
      <c r="H785" s="83" t="s">
        <v>1360</v>
      </c>
      <c r="I785" s="85">
        <f>Planejamento2024[[#This Row],[Qnt de Itens]]*Planejamento2024[[#This Row],[Valor unitário]]</f>
        <v>51810</v>
      </c>
      <c r="J785" s="83" t="s">
        <v>20</v>
      </c>
      <c r="K785" s="83" t="s">
        <v>478</v>
      </c>
      <c r="L785" s="86">
        <v>45292</v>
      </c>
      <c r="M785" s="83" t="s">
        <v>20</v>
      </c>
      <c r="N785" s="87" t="s">
        <v>1361</v>
      </c>
      <c r="O785" s="83" t="s">
        <v>827</v>
      </c>
    </row>
    <row r="786" spans="1:15" ht="27">
      <c r="A786" s="81">
        <f t="shared" si="12"/>
        <v>785</v>
      </c>
      <c r="B786" s="82" t="s">
        <v>1640</v>
      </c>
      <c r="C786" s="83" t="s">
        <v>34</v>
      </c>
      <c r="D786" s="83" t="s">
        <v>35</v>
      </c>
      <c r="E786" s="84">
        <v>100</v>
      </c>
      <c r="F786" s="85">
        <v>211.1</v>
      </c>
      <c r="G786" s="83" t="s">
        <v>885</v>
      </c>
      <c r="H786" s="83" t="s">
        <v>1360</v>
      </c>
      <c r="I786" s="85">
        <f>Planejamento2024[[#This Row],[Qnt de Itens]]*Planejamento2024[[#This Row],[Valor unitário]]</f>
        <v>21110</v>
      </c>
      <c r="J786" s="83" t="s">
        <v>20</v>
      </c>
      <c r="K786" s="83" t="s">
        <v>478</v>
      </c>
      <c r="L786" s="86">
        <v>45292</v>
      </c>
      <c r="M786" s="83" t="s">
        <v>20</v>
      </c>
      <c r="N786" s="87" t="s">
        <v>1361</v>
      </c>
      <c r="O786" s="83" t="s">
        <v>827</v>
      </c>
    </row>
    <row r="787" spans="1:15" ht="36">
      <c r="A787" s="81">
        <f t="shared" si="12"/>
        <v>786</v>
      </c>
      <c r="B787" s="82" t="s">
        <v>1641</v>
      </c>
      <c r="C787" s="83" t="s">
        <v>34</v>
      </c>
      <c r="D787" s="83" t="s">
        <v>35</v>
      </c>
      <c r="E787" s="84">
        <v>20</v>
      </c>
      <c r="F787" s="85">
        <v>1698</v>
      </c>
      <c r="G787" s="83" t="s">
        <v>885</v>
      </c>
      <c r="H787" s="83" t="s">
        <v>1360</v>
      </c>
      <c r="I787" s="85">
        <f>Planejamento2024[[#This Row],[Qnt de Itens]]*Planejamento2024[[#This Row],[Valor unitário]]</f>
        <v>33960</v>
      </c>
      <c r="J787" s="83" t="s">
        <v>20</v>
      </c>
      <c r="K787" s="83" t="s">
        <v>478</v>
      </c>
      <c r="L787" s="86">
        <v>45292</v>
      </c>
      <c r="M787" s="83" t="s">
        <v>20</v>
      </c>
      <c r="N787" s="87" t="s">
        <v>1361</v>
      </c>
      <c r="O787" s="83" t="s">
        <v>827</v>
      </c>
    </row>
    <row r="788" spans="1:15" ht="18">
      <c r="A788" s="81">
        <f t="shared" si="12"/>
        <v>787</v>
      </c>
      <c r="B788" s="82" t="s">
        <v>1642</v>
      </c>
      <c r="C788" s="83" t="s">
        <v>34</v>
      </c>
      <c r="D788" s="83" t="s">
        <v>35</v>
      </c>
      <c r="E788" s="84">
        <v>100</v>
      </c>
      <c r="F788" s="85">
        <v>90.85</v>
      </c>
      <c r="G788" s="83" t="s">
        <v>885</v>
      </c>
      <c r="H788" s="83" t="s">
        <v>1360</v>
      </c>
      <c r="I788" s="85">
        <f>Planejamento2024[[#This Row],[Qnt de Itens]]*Planejamento2024[[#This Row],[Valor unitário]]</f>
        <v>9085</v>
      </c>
      <c r="J788" s="83" t="s">
        <v>20</v>
      </c>
      <c r="K788" s="83" t="s">
        <v>478</v>
      </c>
      <c r="L788" s="86">
        <v>45292</v>
      </c>
      <c r="M788" s="83" t="s">
        <v>20</v>
      </c>
      <c r="N788" s="87" t="s">
        <v>1361</v>
      </c>
      <c r="O788" s="83" t="s">
        <v>827</v>
      </c>
    </row>
    <row r="789" spans="1:15" ht="36">
      <c r="A789" s="81">
        <f t="shared" si="12"/>
        <v>788</v>
      </c>
      <c r="B789" s="82" t="s">
        <v>1643</v>
      </c>
      <c r="C789" s="83" t="s">
        <v>34</v>
      </c>
      <c r="D789" s="83" t="s">
        <v>35</v>
      </c>
      <c r="E789" s="84">
        <v>100</v>
      </c>
      <c r="F789" s="85">
        <v>104.47</v>
      </c>
      <c r="G789" s="83" t="s">
        <v>885</v>
      </c>
      <c r="H789" s="83" t="s">
        <v>1360</v>
      </c>
      <c r="I789" s="85">
        <f>Planejamento2024[[#This Row],[Qnt de Itens]]*Planejamento2024[[#This Row],[Valor unitário]]</f>
        <v>10447</v>
      </c>
      <c r="J789" s="83" t="s">
        <v>20</v>
      </c>
      <c r="K789" s="83" t="s">
        <v>478</v>
      </c>
      <c r="L789" s="86">
        <v>45292</v>
      </c>
      <c r="M789" s="83" t="s">
        <v>20</v>
      </c>
      <c r="N789" s="87" t="s">
        <v>1361</v>
      </c>
      <c r="O789" s="83" t="s">
        <v>827</v>
      </c>
    </row>
    <row r="790" spans="1:15" ht="36">
      <c r="A790" s="81">
        <f t="shared" si="12"/>
        <v>789</v>
      </c>
      <c r="B790" s="82" t="s">
        <v>1644</v>
      </c>
      <c r="C790" s="83" t="s">
        <v>34</v>
      </c>
      <c r="D790" s="83" t="s">
        <v>35</v>
      </c>
      <c r="E790" s="84">
        <v>200</v>
      </c>
      <c r="F790" s="85">
        <v>14.9</v>
      </c>
      <c r="G790" s="83" t="s">
        <v>885</v>
      </c>
      <c r="H790" s="83" t="s">
        <v>1360</v>
      </c>
      <c r="I790" s="85">
        <f>Planejamento2024[[#This Row],[Qnt de Itens]]*Planejamento2024[[#This Row],[Valor unitário]]</f>
        <v>2980</v>
      </c>
      <c r="J790" s="83" t="s">
        <v>20</v>
      </c>
      <c r="K790" s="83" t="s">
        <v>478</v>
      </c>
      <c r="L790" s="86">
        <v>45292</v>
      </c>
      <c r="M790" s="83" t="s">
        <v>20</v>
      </c>
      <c r="N790" s="87" t="s">
        <v>1361</v>
      </c>
      <c r="O790" s="83" t="s">
        <v>827</v>
      </c>
    </row>
    <row r="791" spans="1:15" ht="36">
      <c r="A791" s="81">
        <f t="shared" si="12"/>
        <v>790</v>
      </c>
      <c r="B791" s="82" t="s">
        <v>1645</v>
      </c>
      <c r="C791" s="83" t="s">
        <v>34</v>
      </c>
      <c r="D791" s="83" t="s">
        <v>35</v>
      </c>
      <c r="E791" s="84">
        <v>200</v>
      </c>
      <c r="F791" s="85">
        <v>22.31</v>
      </c>
      <c r="G791" s="83" t="s">
        <v>885</v>
      </c>
      <c r="H791" s="83" t="s">
        <v>1360</v>
      </c>
      <c r="I791" s="85">
        <f>Planejamento2024[[#This Row],[Qnt de Itens]]*Planejamento2024[[#This Row],[Valor unitário]]</f>
        <v>4462</v>
      </c>
      <c r="J791" s="83" t="s">
        <v>20</v>
      </c>
      <c r="K791" s="83" t="s">
        <v>478</v>
      </c>
      <c r="L791" s="86">
        <v>45292</v>
      </c>
      <c r="M791" s="83" t="s">
        <v>20</v>
      </c>
      <c r="N791" s="87" t="s">
        <v>1361</v>
      </c>
      <c r="O791" s="83" t="s">
        <v>827</v>
      </c>
    </row>
    <row r="792" spans="1:15" ht="27">
      <c r="A792" s="81">
        <f t="shared" si="12"/>
        <v>791</v>
      </c>
      <c r="B792" s="82" t="s">
        <v>1646</v>
      </c>
      <c r="C792" s="83" t="s">
        <v>34</v>
      </c>
      <c r="D792" s="83" t="s">
        <v>35</v>
      </c>
      <c r="E792" s="84">
        <v>200</v>
      </c>
      <c r="F792" s="85">
        <v>29.69</v>
      </c>
      <c r="G792" s="83" t="s">
        <v>885</v>
      </c>
      <c r="H792" s="83" t="s">
        <v>1360</v>
      </c>
      <c r="I792" s="85">
        <f>Planejamento2024[[#This Row],[Qnt de Itens]]*Planejamento2024[[#This Row],[Valor unitário]]</f>
        <v>5938</v>
      </c>
      <c r="J792" s="83" t="s">
        <v>20</v>
      </c>
      <c r="K792" s="83" t="s">
        <v>478</v>
      </c>
      <c r="L792" s="86">
        <v>45292</v>
      </c>
      <c r="M792" s="83" t="s">
        <v>20</v>
      </c>
      <c r="N792" s="87" t="s">
        <v>1361</v>
      </c>
      <c r="O792" s="83" t="s">
        <v>827</v>
      </c>
    </row>
    <row r="793" spans="1:15" ht="36">
      <c r="A793" s="81">
        <f t="shared" si="12"/>
        <v>792</v>
      </c>
      <c r="B793" s="82" t="s">
        <v>1647</v>
      </c>
      <c r="C793" s="83" t="s">
        <v>34</v>
      </c>
      <c r="D793" s="83" t="s">
        <v>35</v>
      </c>
      <c r="E793" s="84">
        <v>200</v>
      </c>
      <c r="F793" s="85">
        <v>6.44</v>
      </c>
      <c r="G793" s="83" t="s">
        <v>885</v>
      </c>
      <c r="H793" s="83" t="s">
        <v>1360</v>
      </c>
      <c r="I793" s="85">
        <f>Planejamento2024[[#This Row],[Qnt de Itens]]*Planejamento2024[[#This Row],[Valor unitário]]</f>
        <v>1288</v>
      </c>
      <c r="J793" s="83" t="s">
        <v>20</v>
      </c>
      <c r="K793" s="83" t="s">
        <v>478</v>
      </c>
      <c r="L793" s="86">
        <v>45292</v>
      </c>
      <c r="M793" s="83" t="s">
        <v>20</v>
      </c>
      <c r="N793" s="87" t="s">
        <v>1361</v>
      </c>
      <c r="O793" s="83" t="s">
        <v>827</v>
      </c>
    </row>
    <row r="794" spans="1:15" ht="27">
      <c r="A794" s="81">
        <f t="shared" si="12"/>
        <v>793</v>
      </c>
      <c r="B794" s="82" t="s">
        <v>1648</v>
      </c>
      <c r="C794" s="83" t="s">
        <v>34</v>
      </c>
      <c r="D794" s="83" t="s">
        <v>35</v>
      </c>
      <c r="E794" s="84">
        <v>200</v>
      </c>
      <c r="F794" s="85">
        <v>21.86</v>
      </c>
      <c r="G794" s="83" t="s">
        <v>885</v>
      </c>
      <c r="H794" s="83" t="s">
        <v>1360</v>
      </c>
      <c r="I794" s="85">
        <f>Planejamento2024[[#This Row],[Qnt de Itens]]*Planejamento2024[[#This Row],[Valor unitário]]</f>
        <v>4372</v>
      </c>
      <c r="J794" s="83" t="s">
        <v>20</v>
      </c>
      <c r="K794" s="83" t="s">
        <v>478</v>
      </c>
      <c r="L794" s="86">
        <v>45292</v>
      </c>
      <c r="M794" s="83" t="s">
        <v>20</v>
      </c>
      <c r="N794" s="87" t="s">
        <v>1361</v>
      </c>
      <c r="O794" s="83" t="s">
        <v>827</v>
      </c>
    </row>
    <row r="795" spans="1:15" ht="27">
      <c r="A795" s="81">
        <f t="shared" si="12"/>
        <v>794</v>
      </c>
      <c r="B795" s="82" t="s">
        <v>1649</v>
      </c>
      <c r="C795" s="83" t="s">
        <v>34</v>
      </c>
      <c r="D795" s="83" t="s">
        <v>35</v>
      </c>
      <c r="E795" s="84">
        <v>300</v>
      </c>
      <c r="F795" s="85">
        <v>22.35</v>
      </c>
      <c r="G795" s="83" t="s">
        <v>885</v>
      </c>
      <c r="H795" s="83" t="s">
        <v>1360</v>
      </c>
      <c r="I795" s="85">
        <f>Planejamento2024[[#This Row],[Qnt de Itens]]*Planejamento2024[[#This Row],[Valor unitário]]</f>
        <v>6705</v>
      </c>
      <c r="J795" s="83" t="s">
        <v>20</v>
      </c>
      <c r="K795" s="83" t="s">
        <v>478</v>
      </c>
      <c r="L795" s="86">
        <v>45292</v>
      </c>
      <c r="M795" s="83" t="s">
        <v>20</v>
      </c>
      <c r="N795" s="87" t="s">
        <v>1361</v>
      </c>
      <c r="O795" s="83" t="s">
        <v>827</v>
      </c>
    </row>
    <row r="796" spans="1:15" ht="27">
      <c r="A796" s="81">
        <f t="shared" si="12"/>
        <v>795</v>
      </c>
      <c r="B796" s="82" t="s">
        <v>1650</v>
      </c>
      <c r="C796" s="83" t="s">
        <v>34</v>
      </c>
      <c r="D796" s="83" t="s">
        <v>35</v>
      </c>
      <c r="E796" s="84">
        <v>200</v>
      </c>
      <c r="F796" s="85">
        <v>23.26</v>
      </c>
      <c r="G796" s="83" t="s">
        <v>885</v>
      </c>
      <c r="H796" s="83" t="s">
        <v>1360</v>
      </c>
      <c r="I796" s="85">
        <f>Planejamento2024[[#This Row],[Qnt de Itens]]*Planejamento2024[[#This Row],[Valor unitário]]</f>
        <v>4652</v>
      </c>
      <c r="J796" s="83" t="s">
        <v>20</v>
      </c>
      <c r="K796" s="83" t="s">
        <v>478</v>
      </c>
      <c r="L796" s="86">
        <v>45292</v>
      </c>
      <c r="M796" s="83" t="s">
        <v>20</v>
      </c>
      <c r="N796" s="87" t="s">
        <v>1361</v>
      </c>
      <c r="O796" s="83" t="s">
        <v>827</v>
      </c>
    </row>
    <row r="797" spans="1:15" ht="18">
      <c r="A797" s="81">
        <f t="shared" si="12"/>
        <v>796</v>
      </c>
      <c r="B797" s="82" t="s">
        <v>1651</v>
      </c>
      <c r="C797" s="83" t="s">
        <v>34</v>
      </c>
      <c r="D797" s="83" t="s">
        <v>35</v>
      </c>
      <c r="E797" s="84">
        <v>500</v>
      </c>
      <c r="F797" s="85">
        <v>20.68</v>
      </c>
      <c r="G797" s="83" t="s">
        <v>885</v>
      </c>
      <c r="H797" s="83" t="s">
        <v>1360</v>
      </c>
      <c r="I797" s="85">
        <f>Planejamento2024[[#This Row],[Qnt de Itens]]*Planejamento2024[[#This Row],[Valor unitário]]</f>
        <v>10340</v>
      </c>
      <c r="J797" s="83" t="s">
        <v>20</v>
      </c>
      <c r="K797" s="83" t="s">
        <v>478</v>
      </c>
      <c r="L797" s="86">
        <v>45292</v>
      </c>
      <c r="M797" s="83" t="s">
        <v>20</v>
      </c>
      <c r="N797" s="87" t="s">
        <v>1361</v>
      </c>
      <c r="O797" s="83" t="s">
        <v>827</v>
      </c>
    </row>
    <row r="798" spans="1:15" ht="18">
      <c r="A798" s="81">
        <f t="shared" si="12"/>
        <v>797</v>
      </c>
      <c r="B798" s="82" t="s">
        <v>1652</v>
      </c>
      <c r="C798" s="83" t="s">
        <v>34</v>
      </c>
      <c r="D798" s="83" t="s">
        <v>35</v>
      </c>
      <c r="E798" s="84">
        <v>20</v>
      </c>
      <c r="F798" s="85">
        <v>10.83</v>
      </c>
      <c r="G798" s="83" t="s">
        <v>885</v>
      </c>
      <c r="H798" s="83" t="s">
        <v>1360</v>
      </c>
      <c r="I798" s="85">
        <f>Planejamento2024[[#This Row],[Qnt de Itens]]*Planejamento2024[[#This Row],[Valor unitário]]</f>
        <v>216.6</v>
      </c>
      <c r="J798" s="83" t="s">
        <v>20</v>
      </c>
      <c r="K798" s="83" t="s">
        <v>478</v>
      </c>
      <c r="L798" s="86">
        <v>45292</v>
      </c>
      <c r="M798" s="83" t="s">
        <v>20</v>
      </c>
      <c r="N798" s="87" t="s">
        <v>1361</v>
      </c>
      <c r="O798" s="83" t="s">
        <v>827</v>
      </c>
    </row>
    <row r="799" spans="1:15" ht="45">
      <c r="A799" s="81">
        <f t="shared" si="12"/>
        <v>798</v>
      </c>
      <c r="B799" s="82" t="s">
        <v>1653</v>
      </c>
      <c r="C799" s="83" t="s">
        <v>34</v>
      </c>
      <c r="D799" s="83" t="s">
        <v>35</v>
      </c>
      <c r="E799" s="84">
        <v>30</v>
      </c>
      <c r="F799" s="85">
        <v>600.75</v>
      </c>
      <c r="G799" s="83" t="s">
        <v>885</v>
      </c>
      <c r="H799" s="83" t="s">
        <v>1360</v>
      </c>
      <c r="I799" s="85">
        <f>Planejamento2024[[#This Row],[Qnt de Itens]]*Planejamento2024[[#This Row],[Valor unitário]]</f>
        <v>18022.5</v>
      </c>
      <c r="J799" s="83" t="s">
        <v>20</v>
      </c>
      <c r="K799" s="83" t="s">
        <v>478</v>
      </c>
      <c r="L799" s="86">
        <v>45292</v>
      </c>
      <c r="M799" s="83" t="s">
        <v>20</v>
      </c>
      <c r="N799" s="87" t="s">
        <v>1361</v>
      </c>
      <c r="O799" s="83" t="s">
        <v>827</v>
      </c>
    </row>
    <row r="800" spans="1:15" ht="27">
      <c r="A800" s="81">
        <f t="shared" si="12"/>
        <v>799</v>
      </c>
      <c r="B800" s="82" t="s">
        <v>1654</v>
      </c>
      <c r="C800" s="83" t="s">
        <v>34</v>
      </c>
      <c r="D800" s="83" t="s">
        <v>35</v>
      </c>
      <c r="E800" s="84">
        <v>20</v>
      </c>
      <c r="F800" s="85">
        <v>88.48</v>
      </c>
      <c r="G800" s="83" t="s">
        <v>885</v>
      </c>
      <c r="H800" s="83" t="s">
        <v>1360</v>
      </c>
      <c r="I800" s="85">
        <f>Planejamento2024[[#This Row],[Qnt de Itens]]*Planejamento2024[[#This Row],[Valor unitário]]</f>
        <v>1769.6000000000001</v>
      </c>
      <c r="J800" s="83" t="s">
        <v>20</v>
      </c>
      <c r="K800" s="83" t="s">
        <v>478</v>
      </c>
      <c r="L800" s="86">
        <v>45292</v>
      </c>
      <c r="M800" s="83" t="s">
        <v>20</v>
      </c>
      <c r="N800" s="87" t="s">
        <v>1361</v>
      </c>
      <c r="O800" s="83" t="s">
        <v>827</v>
      </c>
    </row>
    <row r="801" spans="1:15" ht="27">
      <c r="A801" s="81">
        <f t="shared" si="12"/>
        <v>800</v>
      </c>
      <c r="B801" s="82" t="s">
        <v>1655</v>
      </c>
      <c r="C801" s="83" t="s">
        <v>34</v>
      </c>
      <c r="D801" s="83" t="s">
        <v>35</v>
      </c>
      <c r="E801" s="84">
        <v>20</v>
      </c>
      <c r="F801" s="85">
        <v>99.42</v>
      </c>
      <c r="G801" s="83" t="s">
        <v>885</v>
      </c>
      <c r="H801" s="83" t="s">
        <v>1360</v>
      </c>
      <c r="I801" s="85">
        <f>Planejamento2024[[#This Row],[Qnt de Itens]]*Planejamento2024[[#This Row],[Valor unitário]]</f>
        <v>1988.4</v>
      </c>
      <c r="J801" s="83" t="s">
        <v>20</v>
      </c>
      <c r="K801" s="83" t="s">
        <v>478</v>
      </c>
      <c r="L801" s="86">
        <v>45292</v>
      </c>
      <c r="M801" s="83" t="s">
        <v>20</v>
      </c>
      <c r="N801" s="87" t="s">
        <v>1361</v>
      </c>
      <c r="O801" s="83" t="s">
        <v>827</v>
      </c>
    </row>
    <row r="802" spans="1:15" ht="18">
      <c r="A802" s="81">
        <f t="shared" si="12"/>
        <v>801</v>
      </c>
      <c r="B802" s="82" t="s">
        <v>1656</v>
      </c>
      <c r="C802" s="83" t="s">
        <v>34</v>
      </c>
      <c r="D802" s="83" t="s">
        <v>35</v>
      </c>
      <c r="E802" s="84">
        <v>300</v>
      </c>
      <c r="F802" s="85">
        <v>111.21</v>
      </c>
      <c r="G802" s="83" t="s">
        <v>885</v>
      </c>
      <c r="H802" s="83" t="s">
        <v>1360</v>
      </c>
      <c r="I802" s="85">
        <f>Planejamento2024[[#This Row],[Qnt de Itens]]*Planejamento2024[[#This Row],[Valor unitário]]</f>
        <v>33363</v>
      </c>
      <c r="J802" s="83" t="s">
        <v>20</v>
      </c>
      <c r="K802" s="83" t="s">
        <v>478</v>
      </c>
      <c r="L802" s="86">
        <v>45292</v>
      </c>
      <c r="M802" s="83" t="s">
        <v>20</v>
      </c>
      <c r="N802" s="87" t="s">
        <v>1361</v>
      </c>
      <c r="O802" s="83" t="s">
        <v>827</v>
      </c>
    </row>
    <row r="803" spans="1:15" ht="27">
      <c r="A803" s="81">
        <f t="shared" si="12"/>
        <v>802</v>
      </c>
      <c r="B803" s="82" t="s">
        <v>1657</v>
      </c>
      <c r="C803" s="83" t="s">
        <v>34</v>
      </c>
      <c r="D803" s="83" t="s">
        <v>35</v>
      </c>
      <c r="E803" s="84">
        <v>200</v>
      </c>
      <c r="F803" s="85">
        <v>37.590000000000003</v>
      </c>
      <c r="G803" s="83" t="s">
        <v>885</v>
      </c>
      <c r="H803" s="83" t="s">
        <v>1360</v>
      </c>
      <c r="I803" s="85">
        <f>Planejamento2024[[#This Row],[Qnt de Itens]]*Planejamento2024[[#This Row],[Valor unitário]]</f>
        <v>7518.0000000000009</v>
      </c>
      <c r="J803" s="83" t="s">
        <v>20</v>
      </c>
      <c r="K803" s="83" t="s">
        <v>478</v>
      </c>
      <c r="L803" s="86">
        <v>45292</v>
      </c>
      <c r="M803" s="83" t="s">
        <v>20</v>
      </c>
      <c r="N803" s="87" t="s">
        <v>1361</v>
      </c>
      <c r="O803" s="83" t="s">
        <v>827</v>
      </c>
    </row>
    <row r="804" spans="1:15" ht="27">
      <c r="A804" s="81">
        <f t="shared" si="12"/>
        <v>803</v>
      </c>
      <c r="B804" s="82" t="s">
        <v>1658</v>
      </c>
      <c r="C804" s="83" t="s">
        <v>34</v>
      </c>
      <c r="D804" s="83" t="s">
        <v>35</v>
      </c>
      <c r="E804" s="84">
        <v>200</v>
      </c>
      <c r="F804" s="85">
        <v>37.57</v>
      </c>
      <c r="G804" s="83" t="s">
        <v>885</v>
      </c>
      <c r="H804" s="83" t="s">
        <v>1360</v>
      </c>
      <c r="I804" s="85">
        <f>Planejamento2024[[#This Row],[Qnt de Itens]]*Planejamento2024[[#This Row],[Valor unitário]]</f>
        <v>7514</v>
      </c>
      <c r="J804" s="83" t="s">
        <v>20</v>
      </c>
      <c r="K804" s="83" t="s">
        <v>478</v>
      </c>
      <c r="L804" s="86">
        <v>45292</v>
      </c>
      <c r="M804" s="83" t="s">
        <v>20</v>
      </c>
      <c r="N804" s="87" t="s">
        <v>1361</v>
      </c>
      <c r="O804" s="83" t="s">
        <v>827</v>
      </c>
    </row>
    <row r="805" spans="1:15" ht="36">
      <c r="A805" s="81">
        <f t="shared" si="12"/>
        <v>804</v>
      </c>
      <c r="B805" s="82" t="s">
        <v>1659</v>
      </c>
      <c r="C805" s="83" t="s">
        <v>34</v>
      </c>
      <c r="D805" s="83" t="s">
        <v>35</v>
      </c>
      <c r="E805" s="84">
        <v>200</v>
      </c>
      <c r="F805" s="85">
        <v>37.49</v>
      </c>
      <c r="G805" s="83" t="s">
        <v>885</v>
      </c>
      <c r="H805" s="83" t="s">
        <v>1360</v>
      </c>
      <c r="I805" s="85">
        <f>Planejamento2024[[#This Row],[Qnt de Itens]]*Planejamento2024[[#This Row],[Valor unitário]]</f>
        <v>7498</v>
      </c>
      <c r="J805" s="83" t="s">
        <v>20</v>
      </c>
      <c r="K805" s="83" t="s">
        <v>478</v>
      </c>
      <c r="L805" s="86">
        <v>45292</v>
      </c>
      <c r="M805" s="83" t="s">
        <v>20</v>
      </c>
      <c r="N805" s="87" t="s">
        <v>1361</v>
      </c>
      <c r="O805" s="83" t="s">
        <v>827</v>
      </c>
    </row>
    <row r="806" spans="1:15" ht="18">
      <c r="A806" s="81">
        <f t="shared" si="12"/>
        <v>805</v>
      </c>
      <c r="B806" s="82" t="s">
        <v>1660</v>
      </c>
      <c r="C806" s="83" t="s">
        <v>34</v>
      </c>
      <c r="D806" s="83" t="s">
        <v>35</v>
      </c>
      <c r="E806" s="84">
        <v>5000</v>
      </c>
      <c r="F806" s="85">
        <v>3.46</v>
      </c>
      <c r="G806" s="83" t="s">
        <v>885</v>
      </c>
      <c r="H806" s="83" t="s">
        <v>1360</v>
      </c>
      <c r="I806" s="85">
        <f>Planejamento2024[[#This Row],[Qnt de Itens]]*Planejamento2024[[#This Row],[Valor unitário]]</f>
        <v>17300</v>
      </c>
      <c r="J806" s="83" t="s">
        <v>20</v>
      </c>
      <c r="K806" s="83" t="s">
        <v>478</v>
      </c>
      <c r="L806" s="86">
        <v>45292</v>
      </c>
      <c r="M806" s="83" t="s">
        <v>20</v>
      </c>
      <c r="N806" s="87" t="s">
        <v>1361</v>
      </c>
      <c r="O806" s="83" t="s">
        <v>827</v>
      </c>
    </row>
    <row r="807" spans="1:15" ht="27">
      <c r="A807" s="81">
        <f t="shared" si="12"/>
        <v>806</v>
      </c>
      <c r="B807" s="82" t="s">
        <v>1661</v>
      </c>
      <c r="C807" s="83" t="s">
        <v>34</v>
      </c>
      <c r="D807" s="83" t="s">
        <v>35</v>
      </c>
      <c r="E807" s="84">
        <v>5000</v>
      </c>
      <c r="F807" s="85">
        <v>2.78</v>
      </c>
      <c r="G807" s="83" t="s">
        <v>885</v>
      </c>
      <c r="H807" s="83" t="s">
        <v>1360</v>
      </c>
      <c r="I807" s="85">
        <f>Planejamento2024[[#This Row],[Qnt de Itens]]*Planejamento2024[[#This Row],[Valor unitário]]</f>
        <v>13899.999999999998</v>
      </c>
      <c r="J807" s="83" t="s">
        <v>20</v>
      </c>
      <c r="K807" s="83" t="s">
        <v>478</v>
      </c>
      <c r="L807" s="86">
        <v>45292</v>
      </c>
      <c r="M807" s="83" t="s">
        <v>20</v>
      </c>
      <c r="N807" s="87" t="s">
        <v>1361</v>
      </c>
      <c r="O807" s="83" t="s">
        <v>827</v>
      </c>
    </row>
    <row r="808" spans="1:15" ht="36">
      <c r="A808" s="81">
        <f t="shared" si="12"/>
        <v>807</v>
      </c>
      <c r="B808" s="82" t="s">
        <v>1662</v>
      </c>
      <c r="C808" s="83" t="s">
        <v>34</v>
      </c>
      <c r="D808" s="83" t="s">
        <v>35</v>
      </c>
      <c r="E808" s="84">
        <v>200</v>
      </c>
      <c r="F808" s="85">
        <v>20.99</v>
      </c>
      <c r="G808" s="83" t="s">
        <v>885</v>
      </c>
      <c r="H808" s="83" t="s">
        <v>1360</v>
      </c>
      <c r="I808" s="85">
        <f>Planejamento2024[[#This Row],[Qnt de Itens]]*Planejamento2024[[#This Row],[Valor unitário]]</f>
        <v>4198</v>
      </c>
      <c r="J808" s="83" t="s">
        <v>20</v>
      </c>
      <c r="K808" s="83" t="s">
        <v>478</v>
      </c>
      <c r="L808" s="86">
        <v>45292</v>
      </c>
      <c r="M808" s="83" t="s">
        <v>20</v>
      </c>
      <c r="N808" s="87" t="s">
        <v>1361</v>
      </c>
      <c r="O808" s="83" t="s">
        <v>827</v>
      </c>
    </row>
    <row r="809" spans="1:15" ht="27">
      <c r="A809" s="81">
        <f t="shared" si="12"/>
        <v>808</v>
      </c>
      <c r="B809" s="82" t="s">
        <v>1663</v>
      </c>
      <c r="C809" s="83" t="s">
        <v>34</v>
      </c>
      <c r="D809" s="83" t="s">
        <v>35</v>
      </c>
      <c r="E809" s="84">
        <v>100</v>
      </c>
      <c r="F809" s="85">
        <v>149.07</v>
      </c>
      <c r="G809" s="83" t="s">
        <v>885</v>
      </c>
      <c r="H809" s="83" t="s">
        <v>1360</v>
      </c>
      <c r="I809" s="85">
        <f>Planejamento2024[[#This Row],[Qnt de Itens]]*Planejamento2024[[#This Row],[Valor unitário]]</f>
        <v>14907</v>
      </c>
      <c r="J809" s="83" t="s">
        <v>20</v>
      </c>
      <c r="K809" s="83" t="s">
        <v>478</v>
      </c>
      <c r="L809" s="86">
        <v>45292</v>
      </c>
      <c r="M809" s="83" t="s">
        <v>20</v>
      </c>
      <c r="N809" s="87" t="s">
        <v>1361</v>
      </c>
      <c r="O809" s="83" t="s">
        <v>827</v>
      </c>
    </row>
    <row r="810" spans="1:15" ht="27">
      <c r="A810" s="81">
        <f t="shared" si="12"/>
        <v>809</v>
      </c>
      <c r="B810" s="82" t="s">
        <v>1664</v>
      </c>
      <c r="C810" s="83" t="s">
        <v>34</v>
      </c>
      <c r="D810" s="83" t="s">
        <v>35</v>
      </c>
      <c r="E810" s="84">
        <v>300</v>
      </c>
      <c r="F810" s="85">
        <v>223.99</v>
      </c>
      <c r="G810" s="83" t="s">
        <v>890</v>
      </c>
      <c r="H810" s="83" t="s">
        <v>1360</v>
      </c>
      <c r="I810" s="85">
        <f>Planejamento2024[[#This Row],[Qnt de Itens]]*Planejamento2024[[#This Row],[Valor unitário]]</f>
        <v>67197</v>
      </c>
      <c r="J810" s="83" t="s">
        <v>20</v>
      </c>
      <c r="K810" s="83" t="s">
        <v>478</v>
      </c>
      <c r="L810" s="86">
        <v>45292</v>
      </c>
      <c r="M810" s="83" t="s">
        <v>20</v>
      </c>
      <c r="N810" s="87" t="s">
        <v>1361</v>
      </c>
      <c r="O810" s="83" t="s">
        <v>827</v>
      </c>
    </row>
    <row r="811" spans="1:15" ht="27">
      <c r="A811" s="81">
        <f t="shared" si="12"/>
        <v>810</v>
      </c>
      <c r="B811" s="82" t="s">
        <v>1665</v>
      </c>
      <c r="C811" s="83" t="s">
        <v>34</v>
      </c>
      <c r="D811" s="83" t="s">
        <v>35</v>
      </c>
      <c r="E811" s="84">
        <v>500</v>
      </c>
      <c r="F811" s="85">
        <v>61.35</v>
      </c>
      <c r="G811" s="83" t="s">
        <v>885</v>
      </c>
      <c r="H811" s="83" t="s">
        <v>1360</v>
      </c>
      <c r="I811" s="85">
        <f>Planejamento2024[[#This Row],[Qnt de Itens]]*Planejamento2024[[#This Row],[Valor unitário]]</f>
        <v>30675</v>
      </c>
      <c r="J811" s="83" t="s">
        <v>20</v>
      </c>
      <c r="K811" s="83" t="s">
        <v>478</v>
      </c>
      <c r="L811" s="86">
        <v>45292</v>
      </c>
      <c r="M811" s="83" t="s">
        <v>20</v>
      </c>
      <c r="N811" s="87" t="s">
        <v>1361</v>
      </c>
      <c r="O811" s="83" t="s">
        <v>827</v>
      </c>
    </row>
    <row r="812" spans="1:15" ht="54">
      <c r="A812" s="81">
        <f t="shared" si="12"/>
        <v>811</v>
      </c>
      <c r="B812" s="82" t="s">
        <v>1666</v>
      </c>
      <c r="C812" s="83" t="s">
        <v>34</v>
      </c>
      <c r="D812" s="83" t="s">
        <v>35</v>
      </c>
      <c r="E812" s="84">
        <v>1000</v>
      </c>
      <c r="F812" s="85">
        <v>38.42</v>
      </c>
      <c r="G812" s="83" t="s">
        <v>885</v>
      </c>
      <c r="H812" s="83" t="s">
        <v>1360</v>
      </c>
      <c r="I812" s="85">
        <f>Planejamento2024[[#This Row],[Qnt de Itens]]*Planejamento2024[[#This Row],[Valor unitário]]</f>
        <v>38420</v>
      </c>
      <c r="J812" s="83" t="s">
        <v>20</v>
      </c>
      <c r="K812" s="83" t="s">
        <v>478</v>
      </c>
      <c r="L812" s="86">
        <v>45292</v>
      </c>
      <c r="M812" s="83" t="s">
        <v>20</v>
      </c>
      <c r="N812" s="87" t="s">
        <v>1361</v>
      </c>
      <c r="O812" s="83" t="s">
        <v>827</v>
      </c>
    </row>
    <row r="813" spans="1:15" ht="54">
      <c r="A813" s="81">
        <f t="shared" si="12"/>
        <v>812</v>
      </c>
      <c r="B813" s="82" t="s">
        <v>1667</v>
      </c>
      <c r="C813" s="83" t="s">
        <v>34</v>
      </c>
      <c r="D813" s="83" t="s">
        <v>35</v>
      </c>
      <c r="E813" s="84">
        <v>1000</v>
      </c>
      <c r="F813" s="85">
        <v>32.31</v>
      </c>
      <c r="G813" s="83" t="s">
        <v>885</v>
      </c>
      <c r="H813" s="83" t="s">
        <v>1360</v>
      </c>
      <c r="I813" s="85">
        <f>Planejamento2024[[#This Row],[Qnt de Itens]]*Planejamento2024[[#This Row],[Valor unitário]]</f>
        <v>32310.000000000004</v>
      </c>
      <c r="J813" s="83" t="s">
        <v>20</v>
      </c>
      <c r="K813" s="83" t="s">
        <v>478</v>
      </c>
      <c r="L813" s="86">
        <v>45292</v>
      </c>
      <c r="M813" s="83" t="s">
        <v>20</v>
      </c>
      <c r="N813" s="87" t="s">
        <v>1361</v>
      </c>
      <c r="O813" s="83" t="s">
        <v>827</v>
      </c>
    </row>
    <row r="814" spans="1:15" ht="54">
      <c r="A814" s="81">
        <f t="shared" si="12"/>
        <v>813</v>
      </c>
      <c r="B814" s="82" t="s">
        <v>1668</v>
      </c>
      <c r="C814" s="83" t="s">
        <v>34</v>
      </c>
      <c r="D814" s="83" t="s">
        <v>35</v>
      </c>
      <c r="E814" s="84">
        <v>300</v>
      </c>
      <c r="F814" s="85">
        <v>81.680000000000007</v>
      </c>
      <c r="G814" s="83" t="s">
        <v>885</v>
      </c>
      <c r="H814" s="83" t="s">
        <v>1360</v>
      </c>
      <c r="I814" s="85">
        <f>Planejamento2024[[#This Row],[Qnt de Itens]]*Planejamento2024[[#This Row],[Valor unitário]]</f>
        <v>24504.000000000004</v>
      </c>
      <c r="J814" s="83" t="s">
        <v>20</v>
      </c>
      <c r="K814" s="83" t="s">
        <v>478</v>
      </c>
      <c r="L814" s="86">
        <v>45292</v>
      </c>
      <c r="M814" s="83" t="s">
        <v>20</v>
      </c>
      <c r="N814" s="87" t="s">
        <v>1361</v>
      </c>
      <c r="O814" s="83" t="s">
        <v>827</v>
      </c>
    </row>
    <row r="815" spans="1:15" ht="54">
      <c r="A815" s="81">
        <f t="shared" si="12"/>
        <v>814</v>
      </c>
      <c r="B815" s="82" t="s">
        <v>1669</v>
      </c>
      <c r="C815" s="83" t="s">
        <v>34</v>
      </c>
      <c r="D815" s="83" t="s">
        <v>35</v>
      </c>
      <c r="E815" s="84">
        <v>300</v>
      </c>
      <c r="F815" s="85">
        <v>97.47</v>
      </c>
      <c r="G815" s="83" t="s">
        <v>885</v>
      </c>
      <c r="H815" s="83" t="s">
        <v>1360</v>
      </c>
      <c r="I815" s="85">
        <f>Planejamento2024[[#This Row],[Qnt de Itens]]*Planejamento2024[[#This Row],[Valor unitário]]</f>
        <v>29241</v>
      </c>
      <c r="J815" s="83" t="s">
        <v>20</v>
      </c>
      <c r="K815" s="83" t="s">
        <v>478</v>
      </c>
      <c r="L815" s="86">
        <v>45292</v>
      </c>
      <c r="M815" s="83" t="s">
        <v>20</v>
      </c>
      <c r="N815" s="87" t="s">
        <v>1361</v>
      </c>
      <c r="O815" s="83" t="s">
        <v>827</v>
      </c>
    </row>
    <row r="816" spans="1:15" ht="54">
      <c r="A816" s="81">
        <f t="shared" si="12"/>
        <v>815</v>
      </c>
      <c r="B816" s="82" t="s">
        <v>1670</v>
      </c>
      <c r="C816" s="83" t="s">
        <v>34</v>
      </c>
      <c r="D816" s="83" t="s">
        <v>35</v>
      </c>
      <c r="E816" s="84">
        <v>300</v>
      </c>
      <c r="F816" s="85">
        <v>85.35</v>
      </c>
      <c r="G816" s="83" t="s">
        <v>885</v>
      </c>
      <c r="H816" s="83" t="s">
        <v>1360</v>
      </c>
      <c r="I816" s="85">
        <f>Planejamento2024[[#This Row],[Qnt de Itens]]*Planejamento2024[[#This Row],[Valor unitário]]</f>
        <v>25605</v>
      </c>
      <c r="J816" s="83" t="s">
        <v>20</v>
      </c>
      <c r="K816" s="83" t="s">
        <v>478</v>
      </c>
      <c r="L816" s="86">
        <v>45292</v>
      </c>
      <c r="M816" s="83" t="s">
        <v>20</v>
      </c>
      <c r="N816" s="87" t="s">
        <v>1361</v>
      </c>
      <c r="O816" s="83" t="s">
        <v>827</v>
      </c>
    </row>
    <row r="817" spans="1:15" ht="54">
      <c r="A817" s="81">
        <f t="shared" si="12"/>
        <v>816</v>
      </c>
      <c r="B817" s="82" t="s">
        <v>1671</v>
      </c>
      <c r="C817" s="83" t="s">
        <v>34</v>
      </c>
      <c r="D817" s="83" t="s">
        <v>35</v>
      </c>
      <c r="E817" s="84">
        <v>300</v>
      </c>
      <c r="F817" s="85">
        <v>92.73</v>
      </c>
      <c r="G817" s="83" t="s">
        <v>885</v>
      </c>
      <c r="H817" s="83" t="s">
        <v>1360</v>
      </c>
      <c r="I817" s="85">
        <f>Planejamento2024[[#This Row],[Qnt de Itens]]*Planejamento2024[[#This Row],[Valor unitário]]</f>
        <v>27819</v>
      </c>
      <c r="J817" s="83" t="s">
        <v>20</v>
      </c>
      <c r="K817" s="83" t="s">
        <v>478</v>
      </c>
      <c r="L817" s="86">
        <v>45292</v>
      </c>
      <c r="M817" s="83" t="s">
        <v>20</v>
      </c>
      <c r="N817" s="87" t="s">
        <v>1361</v>
      </c>
      <c r="O817" s="83" t="s">
        <v>827</v>
      </c>
    </row>
    <row r="818" spans="1:15" ht="63">
      <c r="A818" s="81">
        <f t="shared" si="12"/>
        <v>817</v>
      </c>
      <c r="B818" s="82" t="s">
        <v>1672</v>
      </c>
      <c r="C818" s="83" t="s">
        <v>34</v>
      </c>
      <c r="D818" s="83" t="s">
        <v>35</v>
      </c>
      <c r="E818" s="84">
        <v>300</v>
      </c>
      <c r="F818" s="85">
        <v>165.24</v>
      </c>
      <c r="G818" s="83" t="s">
        <v>885</v>
      </c>
      <c r="H818" s="83" t="s">
        <v>1360</v>
      </c>
      <c r="I818" s="85">
        <f>Planejamento2024[[#This Row],[Qnt de Itens]]*Planejamento2024[[#This Row],[Valor unitário]]</f>
        <v>49572</v>
      </c>
      <c r="J818" s="83" t="s">
        <v>20</v>
      </c>
      <c r="K818" s="83" t="s">
        <v>478</v>
      </c>
      <c r="L818" s="86">
        <v>45292</v>
      </c>
      <c r="M818" s="83" t="s">
        <v>20</v>
      </c>
      <c r="N818" s="87" t="s">
        <v>1361</v>
      </c>
      <c r="O818" s="83" t="s">
        <v>827</v>
      </c>
    </row>
    <row r="819" spans="1:15" ht="63">
      <c r="A819" s="81">
        <f t="shared" si="12"/>
        <v>818</v>
      </c>
      <c r="B819" s="82" t="s">
        <v>1673</v>
      </c>
      <c r="C819" s="83" t="s">
        <v>34</v>
      </c>
      <c r="D819" s="83" t="s">
        <v>35</v>
      </c>
      <c r="E819" s="84">
        <v>300</v>
      </c>
      <c r="F819" s="85">
        <v>187.57</v>
      </c>
      <c r="G819" s="83" t="s">
        <v>885</v>
      </c>
      <c r="H819" s="83" t="s">
        <v>1360</v>
      </c>
      <c r="I819" s="85">
        <f>Planejamento2024[[#This Row],[Qnt de Itens]]*Planejamento2024[[#This Row],[Valor unitário]]</f>
        <v>56271</v>
      </c>
      <c r="J819" s="83" t="s">
        <v>20</v>
      </c>
      <c r="K819" s="83" t="s">
        <v>478</v>
      </c>
      <c r="L819" s="86">
        <v>45292</v>
      </c>
      <c r="M819" s="83" t="s">
        <v>20</v>
      </c>
      <c r="N819" s="87" t="s">
        <v>1361</v>
      </c>
      <c r="O819" s="83" t="s">
        <v>827</v>
      </c>
    </row>
    <row r="820" spans="1:15" ht="54">
      <c r="A820" s="81">
        <f t="shared" si="12"/>
        <v>819</v>
      </c>
      <c r="B820" s="82" t="s">
        <v>1674</v>
      </c>
      <c r="C820" s="83" t="s">
        <v>34</v>
      </c>
      <c r="D820" s="83" t="s">
        <v>35</v>
      </c>
      <c r="E820" s="84">
        <v>300</v>
      </c>
      <c r="F820" s="85">
        <v>35.67</v>
      </c>
      <c r="G820" s="83" t="s">
        <v>885</v>
      </c>
      <c r="H820" s="83" t="s">
        <v>1360</v>
      </c>
      <c r="I820" s="85">
        <f>Planejamento2024[[#This Row],[Qnt de Itens]]*Planejamento2024[[#This Row],[Valor unitário]]</f>
        <v>10701</v>
      </c>
      <c r="J820" s="83" t="s">
        <v>20</v>
      </c>
      <c r="K820" s="83" t="s">
        <v>478</v>
      </c>
      <c r="L820" s="86">
        <v>45292</v>
      </c>
      <c r="M820" s="83" t="s">
        <v>20</v>
      </c>
      <c r="N820" s="87" t="s">
        <v>1361</v>
      </c>
      <c r="O820" s="83" t="s">
        <v>827</v>
      </c>
    </row>
    <row r="821" spans="1:15" ht="54">
      <c r="A821" s="81">
        <f t="shared" si="12"/>
        <v>820</v>
      </c>
      <c r="B821" s="82" t="s">
        <v>1675</v>
      </c>
      <c r="C821" s="83" t="s">
        <v>34</v>
      </c>
      <c r="D821" s="83" t="s">
        <v>35</v>
      </c>
      <c r="E821" s="84">
        <v>300</v>
      </c>
      <c r="F821" s="85">
        <v>34.67</v>
      </c>
      <c r="G821" s="83" t="s">
        <v>885</v>
      </c>
      <c r="H821" s="83" t="s">
        <v>1360</v>
      </c>
      <c r="I821" s="85">
        <f>Planejamento2024[[#This Row],[Qnt de Itens]]*Planejamento2024[[#This Row],[Valor unitário]]</f>
        <v>10401</v>
      </c>
      <c r="J821" s="83" t="s">
        <v>20</v>
      </c>
      <c r="K821" s="83" t="s">
        <v>478</v>
      </c>
      <c r="L821" s="86">
        <v>45292</v>
      </c>
      <c r="M821" s="83" t="s">
        <v>20</v>
      </c>
      <c r="N821" s="87" t="s">
        <v>1361</v>
      </c>
      <c r="O821" s="83" t="s">
        <v>827</v>
      </c>
    </row>
    <row r="822" spans="1:15" ht="54">
      <c r="A822" s="81">
        <f t="shared" si="12"/>
        <v>821</v>
      </c>
      <c r="B822" s="82" t="s">
        <v>1676</v>
      </c>
      <c r="C822" s="83" t="s">
        <v>34</v>
      </c>
      <c r="D822" s="83" t="s">
        <v>35</v>
      </c>
      <c r="E822" s="84">
        <v>300</v>
      </c>
      <c r="F822" s="85">
        <v>53.5</v>
      </c>
      <c r="G822" s="83" t="s">
        <v>885</v>
      </c>
      <c r="H822" s="83" t="s">
        <v>1360</v>
      </c>
      <c r="I822" s="85">
        <f>Planejamento2024[[#This Row],[Qnt de Itens]]*Planejamento2024[[#This Row],[Valor unitário]]</f>
        <v>16050</v>
      </c>
      <c r="J822" s="83" t="s">
        <v>20</v>
      </c>
      <c r="K822" s="83" t="s">
        <v>478</v>
      </c>
      <c r="L822" s="86">
        <v>45292</v>
      </c>
      <c r="M822" s="83" t="s">
        <v>20</v>
      </c>
      <c r="N822" s="87" t="s">
        <v>1361</v>
      </c>
      <c r="O822" s="83" t="s">
        <v>827</v>
      </c>
    </row>
    <row r="823" spans="1:15" ht="54">
      <c r="A823" s="81">
        <f t="shared" si="12"/>
        <v>822</v>
      </c>
      <c r="B823" s="82" t="s">
        <v>1677</v>
      </c>
      <c r="C823" s="83" t="s">
        <v>34</v>
      </c>
      <c r="D823" s="83" t="s">
        <v>35</v>
      </c>
      <c r="E823" s="84">
        <v>300</v>
      </c>
      <c r="F823" s="85">
        <v>71.239999999999995</v>
      </c>
      <c r="G823" s="83" t="s">
        <v>885</v>
      </c>
      <c r="H823" s="83" t="s">
        <v>1360</v>
      </c>
      <c r="I823" s="85">
        <f>Planejamento2024[[#This Row],[Qnt de Itens]]*Planejamento2024[[#This Row],[Valor unitário]]</f>
        <v>21372</v>
      </c>
      <c r="J823" s="83" t="s">
        <v>20</v>
      </c>
      <c r="K823" s="83" t="s">
        <v>478</v>
      </c>
      <c r="L823" s="86">
        <v>45292</v>
      </c>
      <c r="M823" s="83" t="s">
        <v>20</v>
      </c>
      <c r="N823" s="87" t="s">
        <v>1361</v>
      </c>
      <c r="O823" s="83" t="s">
        <v>827</v>
      </c>
    </row>
    <row r="824" spans="1:15" ht="54">
      <c r="A824" s="81">
        <f t="shared" si="12"/>
        <v>823</v>
      </c>
      <c r="B824" s="82" t="s">
        <v>1678</v>
      </c>
      <c r="C824" s="83" t="s">
        <v>34</v>
      </c>
      <c r="D824" s="83" t="s">
        <v>35</v>
      </c>
      <c r="E824" s="84">
        <v>300</v>
      </c>
      <c r="F824" s="85">
        <v>99.72</v>
      </c>
      <c r="G824" s="83" t="s">
        <v>885</v>
      </c>
      <c r="H824" s="83" t="s">
        <v>1360</v>
      </c>
      <c r="I824" s="85">
        <f>Planejamento2024[[#This Row],[Qnt de Itens]]*Planejamento2024[[#This Row],[Valor unitário]]</f>
        <v>29916</v>
      </c>
      <c r="J824" s="83" t="s">
        <v>20</v>
      </c>
      <c r="K824" s="83" t="s">
        <v>478</v>
      </c>
      <c r="L824" s="86">
        <v>45292</v>
      </c>
      <c r="M824" s="83" t="s">
        <v>20</v>
      </c>
      <c r="N824" s="87" t="s">
        <v>1361</v>
      </c>
      <c r="O824" s="83" t="s">
        <v>827</v>
      </c>
    </row>
    <row r="825" spans="1:15" ht="72">
      <c r="A825" s="81">
        <f t="shared" si="12"/>
        <v>824</v>
      </c>
      <c r="B825" s="82" t="s">
        <v>1679</v>
      </c>
      <c r="C825" s="83" t="s">
        <v>34</v>
      </c>
      <c r="D825" s="83" t="s">
        <v>35</v>
      </c>
      <c r="E825" s="84">
        <v>300</v>
      </c>
      <c r="F825" s="85">
        <v>115.39</v>
      </c>
      <c r="G825" s="83" t="s">
        <v>885</v>
      </c>
      <c r="H825" s="83" t="s">
        <v>1360</v>
      </c>
      <c r="I825" s="85">
        <f>Planejamento2024[[#This Row],[Qnt de Itens]]*Planejamento2024[[#This Row],[Valor unitário]]</f>
        <v>34617</v>
      </c>
      <c r="J825" s="83" t="s">
        <v>20</v>
      </c>
      <c r="K825" s="83" t="s">
        <v>478</v>
      </c>
      <c r="L825" s="86">
        <v>45292</v>
      </c>
      <c r="M825" s="83" t="s">
        <v>20</v>
      </c>
      <c r="N825" s="87" t="s">
        <v>1361</v>
      </c>
      <c r="O825" s="83" t="s">
        <v>827</v>
      </c>
    </row>
    <row r="826" spans="1:15" ht="54">
      <c r="A826" s="81">
        <f t="shared" si="12"/>
        <v>825</v>
      </c>
      <c r="B826" s="82" t="s">
        <v>1680</v>
      </c>
      <c r="C826" s="83" t="s">
        <v>34</v>
      </c>
      <c r="D826" s="83" t="s">
        <v>35</v>
      </c>
      <c r="E826" s="84">
        <v>500</v>
      </c>
      <c r="F826" s="85">
        <v>120.19</v>
      </c>
      <c r="G826" s="83" t="s">
        <v>885</v>
      </c>
      <c r="H826" s="83" t="s">
        <v>1360</v>
      </c>
      <c r="I826" s="85">
        <f>Planejamento2024[[#This Row],[Qnt de Itens]]*Planejamento2024[[#This Row],[Valor unitário]]</f>
        <v>60095</v>
      </c>
      <c r="J826" s="83" t="s">
        <v>20</v>
      </c>
      <c r="K826" s="83" t="s">
        <v>478</v>
      </c>
      <c r="L826" s="86">
        <v>45292</v>
      </c>
      <c r="M826" s="83" t="s">
        <v>20</v>
      </c>
      <c r="N826" s="87" t="s">
        <v>1361</v>
      </c>
      <c r="O826" s="83" t="s">
        <v>827</v>
      </c>
    </row>
    <row r="827" spans="1:15" ht="54">
      <c r="A827" s="81">
        <f t="shared" si="12"/>
        <v>826</v>
      </c>
      <c r="B827" s="82" t="s">
        <v>1681</v>
      </c>
      <c r="C827" s="83" t="s">
        <v>34</v>
      </c>
      <c r="D827" s="83" t="s">
        <v>35</v>
      </c>
      <c r="E827" s="84">
        <v>300</v>
      </c>
      <c r="F827" s="85">
        <v>144.13999999999999</v>
      </c>
      <c r="G827" s="83" t="s">
        <v>885</v>
      </c>
      <c r="H827" s="83" t="s">
        <v>1360</v>
      </c>
      <c r="I827" s="85">
        <f>Planejamento2024[[#This Row],[Qnt de Itens]]*Planejamento2024[[#This Row],[Valor unitário]]</f>
        <v>43241.999999999993</v>
      </c>
      <c r="J827" s="83" t="s">
        <v>20</v>
      </c>
      <c r="K827" s="83" t="s">
        <v>478</v>
      </c>
      <c r="L827" s="86">
        <v>45292</v>
      </c>
      <c r="M827" s="83" t="s">
        <v>20</v>
      </c>
      <c r="N827" s="87" t="s">
        <v>1361</v>
      </c>
      <c r="O827" s="83" t="s">
        <v>827</v>
      </c>
    </row>
    <row r="828" spans="1:15" ht="54">
      <c r="A828" s="81">
        <f t="shared" si="12"/>
        <v>827</v>
      </c>
      <c r="B828" s="82" t="s">
        <v>1682</v>
      </c>
      <c r="C828" s="83" t="s">
        <v>34</v>
      </c>
      <c r="D828" s="83" t="s">
        <v>35</v>
      </c>
      <c r="E828" s="84">
        <v>300</v>
      </c>
      <c r="F828" s="85">
        <v>32.03</v>
      </c>
      <c r="G828" s="83" t="s">
        <v>885</v>
      </c>
      <c r="H828" s="83" t="s">
        <v>1360</v>
      </c>
      <c r="I828" s="85">
        <f>Planejamento2024[[#This Row],[Qnt de Itens]]*Planejamento2024[[#This Row],[Valor unitário]]</f>
        <v>9609</v>
      </c>
      <c r="J828" s="83" t="s">
        <v>20</v>
      </c>
      <c r="K828" s="83" t="s">
        <v>478</v>
      </c>
      <c r="L828" s="86">
        <v>45292</v>
      </c>
      <c r="M828" s="83" t="s">
        <v>20</v>
      </c>
      <c r="N828" s="87" t="s">
        <v>1361</v>
      </c>
      <c r="O828" s="83" t="s">
        <v>827</v>
      </c>
    </row>
    <row r="829" spans="1:15" ht="54">
      <c r="A829" s="81">
        <f t="shared" si="12"/>
        <v>828</v>
      </c>
      <c r="B829" s="82" t="s">
        <v>1683</v>
      </c>
      <c r="C829" s="83" t="s">
        <v>34</v>
      </c>
      <c r="D829" s="83" t="s">
        <v>35</v>
      </c>
      <c r="E829" s="84">
        <v>300</v>
      </c>
      <c r="F829" s="85">
        <v>102.16</v>
      </c>
      <c r="G829" s="83" t="s">
        <v>885</v>
      </c>
      <c r="H829" s="83" t="s">
        <v>1360</v>
      </c>
      <c r="I829" s="85">
        <f>Planejamento2024[[#This Row],[Qnt de Itens]]*Planejamento2024[[#This Row],[Valor unitário]]</f>
        <v>30648</v>
      </c>
      <c r="J829" s="83" t="s">
        <v>20</v>
      </c>
      <c r="K829" s="83" t="s">
        <v>478</v>
      </c>
      <c r="L829" s="86">
        <v>45292</v>
      </c>
      <c r="M829" s="83" t="s">
        <v>20</v>
      </c>
      <c r="N829" s="87" t="s">
        <v>1361</v>
      </c>
      <c r="O829" s="83" t="s">
        <v>827</v>
      </c>
    </row>
    <row r="830" spans="1:15" ht="54">
      <c r="A830" s="81">
        <f t="shared" si="12"/>
        <v>829</v>
      </c>
      <c r="B830" s="82" t="s">
        <v>1684</v>
      </c>
      <c r="C830" s="83" t="s">
        <v>34</v>
      </c>
      <c r="D830" s="83" t="s">
        <v>35</v>
      </c>
      <c r="E830" s="84">
        <v>300</v>
      </c>
      <c r="F830" s="85">
        <v>37.549999999999997</v>
      </c>
      <c r="G830" s="83" t="s">
        <v>885</v>
      </c>
      <c r="H830" s="83" t="s">
        <v>1360</v>
      </c>
      <c r="I830" s="85">
        <f>Planejamento2024[[#This Row],[Qnt de Itens]]*Planejamento2024[[#This Row],[Valor unitário]]</f>
        <v>11265</v>
      </c>
      <c r="J830" s="83" t="s">
        <v>20</v>
      </c>
      <c r="K830" s="83" t="s">
        <v>478</v>
      </c>
      <c r="L830" s="86">
        <v>45292</v>
      </c>
      <c r="M830" s="83" t="s">
        <v>20</v>
      </c>
      <c r="N830" s="87" t="s">
        <v>1361</v>
      </c>
      <c r="O830" s="83" t="s">
        <v>827</v>
      </c>
    </row>
    <row r="831" spans="1:15" ht="18">
      <c r="A831" s="81">
        <f t="shared" si="12"/>
        <v>830</v>
      </c>
      <c r="B831" s="82" t="s">
        <v>1685</v>
      </c>
      <c r="C831" s="83" t="s">
        <v>34</v>
      </c>
      <c r="D831" s="83" t="s">
        <v>35</v>
      </c>
      <c r="E831" s="84">
        <v>50</v>
      </c>
      <c r="F831" s="85">
        <v>3.67</v>
      </c>
      <c r="G831" s="83" t="s">
        <v>885</v>
      </c>
      <c r="H831" s="83" t="s">
        <v>1360</v>
      </c>
      <c r="I831" s="85">
        <f>Planejamento2024[[#This Row],[Qnt de Itens]]*Planejamento2024[[#This Row],[Valor unitário]]</f>
        <v>183.5</v>
      </c>
      <c r="J831" s="83" t="s">
        <v>20</v>
      </c>
      <c r="K831" s="83" t="s">
        <v>478</v>
      </c>
      <c r="L831" s="86">
        <v>45292</v>
      </c>
      <c r="M831" s="83" t="s">
        <v>20</v>
      </c>
      <c r="N831" s="87" t="s">
        <v>1361</v>
      </c>
      <c r="O831" s="83" t="s">
        <v>827</v>
      </c>
    </row>
    <row r="832" spans="1:15" ht="18">
      <c r="A832" s="81">
        <f t="shared" si="12"/>
        <v>831</v>
      </c>
      <c r="B832" s="82" t="s">
        <v>1686</v>
      </c>
      <c r="C832" s="83" t="s">
        <v>34</v>
      </c>
      <c r="D832" s="83" t="s">
        <v>35</v>
      </c>
      <c r="E832" s="84">
        <v>200</v>
      </c>
      <c r="F832" s="85">
        <v>4.8899999999999997</v>
      </c>
      <c r="G832" s="83" t="s">
        <v>885</v>
      </c>
      <c r="H832" s="83" t="s">
        <v>1360</v>
      </c>
      <c r="I832" s="85">
        <f>Planejamento2024[[#This Row],[Qnt de Itens]]*Planejamento2024[[#This Row],[Valor unitário]]</f>
        <v>977.99999999999989</v>
      </c>
      <c r="J832" s="83" t="s">
        <v>20</v>
      </c>
      <c r="K832" s="83" t="s">
        <v>478</v>
      </c>
      <c r="L832" s="86">
        <v>45292</v>
      </c>
      <c r="M832" s="83" t="s">
        <v>20</v>
      </c>
      <c r="N832" s="87" t="s">
        <v>1361</v>
      </c>
      <c r="O832" s="83" t="s">
        <v>827</v>
      </c>
    </row>
    <row r="833" spans="1:15" ht="18">
      <c r="A833" s="81">
        <f t="shared" si="12"/>
        <v>832</v>
      </c>
      <c r="B833" s="82" t="s">
        <v>1687</v>
      </c>
      <c r="C833" s="83" t="s">
        <v>34</v>
      </c>
      <c r="D833" s="83" t="s">
        <v>35</v>
      </c>
      <c r="E833" s="84">
        <v>300</v>
      </c>
      <c r="F833" s="85">
        <v>5.14</v>
      </c>
      <c r="G833" s="83" t="s">
        <v>885</v>
      </c>
      <c r="H833" s="83" t="s">
        <v>1360</v>
      </c>
      <c r="I833" s="85">
        <f>Planejamento2024[[#This Row],[Qnt de Itens]]*Planejamento2024[[#This Row],[Valor unitário]]</f>
        <v>1542</v>
      </c>
      <c r="J833" s="83" t="s">
        <v>20</v>
      </c>
      <c r="K833" s="83" t="s">
        <v>478</v>
      </c>
      <c r="L833" s="86">
        <v>45292</v>
      </c>
      <c r="M833" s="83" t="s">
        <v>20</v>
      </c>
      <c r="N833" s="87" t="s">
        <v>1361</v>
      </c>
      <c r="O833" s="83" t="s">
        <v>827</v>
      </c>
    </row>
    <row r="834" spans="1:15" ht="18">
      <c r="A834" s="81">
        <f t="shared" ref="A834:A897" si="13">ROW(A833)</f>
        <v>833</v>
      </c>
      <c r="B834" s="82" t="s">
        <v>1688</v>
      </c>
      <c r="C834" s="83" t="s">
        <v>34</v>
      </c>
      <c r="D834" s="83" t="s">
        <v>35</v>
      </c>
      <c r="E834" s="84">
        <v>200</v>
      </c>
      <c r="F834" s="85">
        <v>5.63</v>
      </c>
      <c r="G834" s="83" t="s">
        <v>885</v>
      </c>
      <c r="H834" s="83" t="s">
        <v>1360</v>
      </c>
      <c r="I834" s="85">
        <f>Planejamento2024[[#This Row],[Qnt de Itens]]*Planejamento2024[[#This Row],[Valor unitário]]</f>
        <v>1126</v>
      </c>
      <c r="J834" s="83" t="s">
        <v>20</v>
      </c>
      <c r="K834" s="83" t="s">
        <v>478</v>
      </c>
      <c r="L834" s="86">
        <v>45292</v>
      </c>
      <c r="M834" s="83" t="s">
        <v>20</v>
      </c>
      <c r="N834" s="87" t="s">
        <v>1361</v>
      </c>
      <c r="O834" s="83" t="s">
        <v>827</v>
      </c>
    </row>
    <row r="835" spans="1:15" ht="18">
      <c r="A835" s="81">
        <f t="shared" si="13"/>
        <v>834</v>
      </c>
      <c r="B835" s="82" t="s">
        <v>1689</v>
      </c>
      <c r="C835" s="83" t="s">
        <v>34</v>
      </c>
      <c r="D835" s="83" t="s">
        <v>35</v>
      </c>
      <c r="E835" s="84">
        <v>200</v>
      </c>
      <c r="F835" s="85">
        <v>5.0999999999999996</v>
      </c>
      <c r="G835" s="83" t="s">
        <v>885</v>
      </c>
      <c r="H835" s="83" t="s">
        <v>1360</v>
      </c>
      <c r="I835" s="85">
        <f>Planejamento2024[[#This Row],[Qnt de Itens]]*Planejamento2024[[#This Row],[Valor unitário]]</f>
        <v>1019.9999999999999</v>
      </c>
      <c r="J835" s="83" t="s">
        <v>20</v>
      </c>
      <c r="K835" s="83" t="s">
        <v>478</v>
      </c>
      <c r="L835" s="86">
        <v>45292</v>
      </c>
      <c r="M835" s="83" t="s">
        <v>20</v>
      </c>
      <c r="N835" s="87" t="s">
        <v>1361</v>
      </c>
      <c r="O835" s="83" t="s">
        <v>827</v>
      </c>
    </row>
    <row r="836" spans="1:15" ht="18">
      <c r="A836" s="81">
        <f t="shared" si="13"/>
        <v>835</v>
      </c>
      <c r="B836" s="82" t="s">
        <v>1690</v>
      </c>
      <c r="C836" s="83" t="s">
        <v>34</v>
      </c>
      <c r="D836" s="83" t="s">
        <v>35</v>
      </c>
      <c r="E836" s="84">
        <v>200</v>
      </c>
      <c r="F836" s="85">
        <v>4.68</v>
      </c>
      <c r="G836" s="83" t="s">
        <v>885</v>
      </c>
      <c r="H836" s="83" t="s">
        <v>1360</v>
      </c>
      <c r="I836" s="85">
        <f>Planejamento2024[[#This Row],[Qnt de Itens]]*Planejamento2024[[#This Row],[Valor unitário]]</f>
        <v>936</v>
      </c>
      <c r="J836" s="83" t="s">
        <v>20</v>
      </c>
      <c r="K836" s="83" t="s">
        <v>478</v>
      </c>
      <c r="L836" s="86">
        <v>45292</v>
      </c>
      <c r="M836" s="83" t="s">
        <v>20</v>
      </c>
      <c r="N836" s="87" t="s">
        <v>1361</v>
      </c>
      <c r="O836" s="83" t="s">
        <v>827</v>
      </c>
    </row>
    <row r="837" spans="1:15" ht="18">
      <c r="A837" s="81">
        <f t="shared" si="13"/>
        <v>836</v>
      </c>
      <c r="B837" s="82" t="s">
        <v>1691</v>
      </c>
      <c r="C837" s="83" t="s">
        <v>34</v>
      </c>
      <c r="D837" s="83" t="s">
        <v>35</v>
      </c>
      <c r="E837" s="84">
        <v>200</v>
      </c>
      <c r="F837" s="85">
        <v>3.01</v>
      </c>
      <c r="G837" s="83" t="s">
        <v>885</v>
      </c>
      <c r="H837" s="83" t="s">
        <v>1360</v>
      </c>
      <c r="I837" s="85">
        <f>Planejamento2024[[#This Row],[Qnt de Itens]]*Planejamento2024[[#This Row],[Valor unitário]]</f>
        <v>602</v>
      </c>
      <c r="J837" s="83" t="s">
        <v>20</v>
      </c>
      <c r="K837" s="83" t="s">
        <v>478</v>
      </c>
      <c r="L837" s="86">
        <v>45292</v>
      </c>
      <c r="M837" s="83" t="s">
        <v>20</v>
      </c>
      <c r="N837" s="87" t="s">
        <v>1361</v>
      </c>
      <c r="O837" s="83" t="s">
        <v>827</v>
      </c>
    </row>
    <row r="838" spans="1:15" ht="18">
      <c r="A838" s="81">
        <f t="shared" si="13"/>
        <v>837</v>
      </c>
      <c r="B838" s="82" t="s">
        <v>1692</v>
      </c>
      <c r="C838" s="83" t="s">
        <v>34</v>
      </c>
      <c r="D838" s="83" t="s">
        <v>35</v>
      </c>
      <c r="E838" s="84">
        <v>200</v>
      </c>
      <c r="F838" s="85">
        <v>3.01</v>
      </c>
      <c r="G838" s="83" t="s">
        <v>885</v>
      </c>
      <c r="H838" s="83" t="s">
        <v>1360</v>
      </c>
      <c r="I838" s="85">
        <f>Planejamento2024[[#This Row],[Qnt de Itens]]*Planejamento2024[[#This Row],[Valor unitário]]</f>
        <v>602</v>
      </c>
      <c r="J838" s="83" t="s">
        <v>20</v>
      </c>
      <c r="K838" s="83" t="s">
        <v>478</v>
      </c>
      <c r="L838" s="86">
        <v>45292</v>
      </c>
      <c r="M838" s="83" t="s">
        <v>20</v>
      </c>
      <c r="N838" s="87" t="s">
        <v>1361</v>
      </c>
      <c r="O838" s="83" t="s">
        <v>827</v>
      </c>
    </row>
    <row r="839" spans="1:15" ht="18">
      <c r="A839" s="81">
        <f t="shared" si="13"/>
        <v>838</v>
      </c>
      <c r="B839" s="82" t="s">
        <v>1693</v>
      </c>
      <c r="C839" s="83" t="s">
        <v>34</v>
      </c>
      <c r="D839" s="83" t="s">
        <v>35</v>
      </c>
      <c r="E839" s="84">
        <v>200</v>
      </c>
      <c r="F839" s="85">
        <v>3.05</v>
      </c>
      <c r="G839" s="83" t="s">
        <v>885</v>
      </c>
      <c r="H839" s="83" t="s">
        <v>1360</v>
      </c>
      <c r="I839" s="85">
        <f>Planejamento2024[[#This Row],[Qnt de Itens]]*Planejamento2024[[#This Row],[Valor unitário]]</f>
        <v>610</v>
      </c>
      <c r="J839" s="83" t="s">
        <v>20</v>
      </c>
      <c r="K839" s="83" t="s">
        <v>478</v>
      </c>
      <c r="L839" s="86">
        <v>45292</v>
      </c>
      <c r="M839" s="83" t="s">
        <v>20</v>
      </c>
      <c r="N839" s="87" t="s">
        <v>1361</v>
      </c>
      <c r="O839" s="83" t="s">
        <v>827</v>
      </c>
    </row>
    <row r="840" spans="1:15" ht="18">
      <c r="A840" s="81">
        <f t="shared" si="13"/>
        <v>839</v>
      </c>
      <c r="B840" s="82" t="s">
        <v>1694</v>
      </c>
      <c r="C840" s="83" t="s">
        <v>34</v>
      </c>
      <c r="D840" s="83" t="s">
        <v>35</v>
      </c>
      <c r="E840" s="84">
        <v>50</v>
      </c>
      <c r="F840" s="85">
        <v>227.48</v>
      </c>
      <c r="G840" s="83" t="s">
        <v>885</v>
      </c>
      <c r="H840" s="83" t="s">
        <v>1360</v>
      </c>
      <c r="I840" s="85">
        <f>Planejamento2024[[#This Row],[Qnt de Itens]]*Planejamento2024[[#This Row],[Valor unitário]]</f>
        <v>11374</v>
      </c>
      <c r="J840" s="83" t="s">
        <v>20</v>
      </c>
      <c r="K840" s="83" t="s">
        <v>478</v>
      </c>
      <c r="L840" s="86">
        <v>45292</v>
      </c>
      <c r="M840" s="83" t="s">
        <v>20</v>
      </c>
      <c r="N840" s="87" t="s">
        <v>1361</v>
      </c>
      <c r="O840" s="83" t="s">
        <v>827</v>
      </c>
    </row>
    <row r="841" spans="1:15" ht="99">
      <c r="A841" s="81">
        <f t="shared" si="13"/>
        <v>840</v>
      </c>
      <c r="B841" s="82" t="s">
        <v>1695</v>
      </c>
      <c r="C841" s="83" t="s">
        <v>34</v>
      </c>
      <c r="D841" s="83" t="s">
        <v>35</v>
      </c>
      <c r="E841" s="84">
        <v>300</v>
      </c>
      <c r="F841" s="85">
        <v>183.74</v>
      </c>
      <c r="G841" s="83" t="s">
        <v>885</v>
      </c>
      <c r="H841" s="83" t="s">
        <v>1360</v>
      </c>
      <c r="I841" s="85">
        <f>Planejamento2024[[#This Row],[Qnt de Itens]]*Planejamento2024[[#This Row],[Valor unitário]]</f>
        <v>55122</v>
      </c>
      <c r="J841" s="83" t="s">
        <v>20</v>
      </c>
      <c r="K841" s="83" t="s">
        <v>478</v>
      </c>
      <c r="L841" s="86">
        <v>45292</v>
      </c>
      <c r="M841" s="83" t="s">
        <v>20</v>
      </c>
      <c r="N841" s="87" t="s">
        <v>1361</v>
      </c>
      <c r="O841" s="83" t="s">
        <v>827</v>
      </c>
    </row>
    <row r="842" spans="1:15" ht="18">
      <c r="A842" s="81">
        <f t="shared" si="13"/>
        <v>841</v>
      </c>
      <c r="B842" s="82" t="s">
        <v>1696</v>
      </c>
      <c r="C842" s="83" t="s">
        <v>34</v>
      </c>
      <c r="D842" s="83" t="s">
        <v>35</v>
      </c>
      <c r="E842" s="84">
        <v>200</v>
      </c>
      <c r="F842" s="85">
        <v>13.77</v>
      </c>
      <c r="G842" s="83" t="s">
        <v>885</v>
      </c>
      <c r="H842" s="83" t="s">
        <v>1360</v>
      </c>
      <c r="I842" s="85">
        <f>Planejamento2024[[#This Row],[Qnt de Itens]]*Planejamento2024[[#This Row],[Valor unitário]]</f>
        <v>2754</v>
      </c>
      <c r="J842" s="83" t="s">
        <v>20</v>
      </c>
      <c r="K842" s="83" t="s">
        <v>478</v>
      </c>
      <c r="L842" s="86">
        <v>45292</v>
      </c>
      <c r="M842" s="83" t="s">
        <v>20</v>
      </c>
      <c r="N842" s="87" t="s">
        <v>1361</v>
      </c>
      <c r="O842" s="83" t="s">
        <v>827</v>
      </c>
    </row>
    <row r="843" spans="1:15" ht="18">
      <c r="A843" s="81">
        <f t="shared" si="13"/>
        <v>842</v>
      </c>
      <c r="B843" s="82" t="s">
        <v>1697</v>
      </c>
      <c r="C843" s="83" t="s">
        <v>34</v>
      </c>
      <c r="D843" s="83" t="s">
        <v>35</v>
      </c>
      <c r="E843" s="84">
        <v>200</v>
      </c>
      <c r="F843" s="85">
        <v>17.98</v>
      </c>
      <c r="G843" s="83" t="s">
        <v>885</v>
      </c>
      <c r="H843" s="83" t="s">
        <v>1360</v>
      </c>
      <c r="I843" s="85">
        <f>Planejamento2024[[#This Row],[Qnt de Itens]]*Planejamento2024[[#This Row],[Valor unitário]]</f>
        <v>3596</v>
      </c>
      <c r="J843" s="83" t="s">
        <v>20</v>
      </c>
      <c r="K843" s="83" t="s">
        <v>478</v>
      </c>
      <c r="L843" s="86">
        <v>45292</v>
      </c>
      <c r="M843" s="83" t="s">
        <v>20</v>
      </c>
      <c r="N843" s="87" t="s">
        <v>1361</v>
      </c>
      <c r="O843" s="83" t="s">
        <v>827</v>
      </c>
    </row>
    <row r="844" spans="1:15" ht="18">
      <c r="A844" s="81">
        <f t="shared" si="13"/>
        <v>843</v>
      </c>
      <c r="B844" s="82" t="s">
        <v>1698</v>
      </c>
      <c r="C844" s="83" t="s">
        <v>34</v>
      </c>
      <c r="D844" s="83" t="s">
        <v>35</v>
      </c>
      <c r="E844" s="84">
        <v>300</v>
      </c>
      <c r="F844" s="85">
        <v>17.89</v>
      </c>
      <c r="G844" s="83" t="s">
        <v>885</v>
      </c>
      <c r="H844" s="83" t="s">
        <v>1360</v>
      </c>
      <c r="I844" s="85">
        <f>Planejamento2024[[#This Row],[Qnt de Itens]]*Planejamento2024[[#This Row],[Valor unitário]]</f>
        <v>5367</v>
      </c>
      <c r="J844" s="83" t="s">
        <v>20</v>
      </c>
      <c r="K844" s="83" t="s">
        <v>478</v>
      </c>
      <c r="L844" s="86">
        <v>45292</v>
      </c>
      <c r="M844" s="83" t="s">
        <v>20</v>
      </c>
      <c r="N844" s="87" t="s">
        <v>1361</v>
      </c>
      <c r="O844" s="83" t="s">
        <v>827</v>
      </c>
    </row>
    <row r="845" spans="1:15" ht="18">
      <c r="A845" s="81">
        <f t="shared" si="13"/>
        <v>844</v>
      </c>
      <c r="B845" s="82" t="s">
        <v>1699</v>
      </c>
      <c r="C845" s="83" t="s">
        <v>34</v>
      </c>
      <c r="D845" s="83" t="s">
        <v>35</v>
      </c>
      <c r="E845" s="84">
        <v>200</v>
      </c>
      <c r="F845" s="85">
        <v>22.29</v>
      </c>
      <c r="G845" s="83" t="s">
        <v>885</v>
      </c>
      <c r="H845" s="83" t="s">
        <v>1360</v>
      </c>
      <c r="I845" s="85">
        <f>Planejamento2024[[#This Row],[Qnt de Itens]]*Planejamento2024[[#This Row],[Valor unitário]]</f>
        <v>4458</v>
      </c>
      <c r="J845" s="83" t="s">
        <v>20</v>
      </c>
      <c r="K845" s="83" t="s">
        <v>478</v>
      </c>
      <c r="L845" s="86">
        <v>45292</v>
      </c>
      <c r="M845" s="83" t="s">
        <v>20</v>
      </c>
      <c r="N845" s="87" t="s">
        <v>1361</v>
      </c>
      <c r="O845" s="83" t="s">
        <v>827</v>
      </c>
    </row>
    <row r="846" spans="1:15" ht="18">
      <c r="A846" s="81">
        <f t="shared" si="13"/>
        <v>845</v>
      </c>
      <c r="B846" s="82" t="s">
        <v>1700</v>
      </c>
      <c r="C846" s="83" t="s">
        <v>34</v>
      </c>
      <c r="D846" s="83" t="s">
        <v>35</v>
      </c>
      <c r="E846" s="84">
        <v>300</v>
      </c>
      <c r="F846" s="85">
        <v>27.73</v>
      </c>
      <c r="G846" s="83" t="s">
        <v>885</v>
      </c>
      <c r="H846" s="83" t="s">
        <v>1360</v>
      </c>
      <c r="I846" s="85">
        <f>Planejamento2024[[#This Row],[Qnt de Itens]]*Planejamento2024[[#This Row],[Valor unitário]]</f>
        <v>8319</v>
      </c>
      <c r="J846" s="83" t="s">
        <v>20</v>
      </c>
      <c r="K846" s="83" t="s">
        <v>478</v>
      </c>
      <c r="L846" s="86">
        <v>45292</v>
      </c>
      <c r="M846" s="83" t="s">
        <v>20</v>
      </c>
      <c r="N846" s="87" t="s">
        <v>1361</v>
      </c>
      <c r="O846" s="83" t="s">
        <v>827</v>
      </c>
    </row>
    <row r="847" spans="1:15" ht="18">
      <c r="A847" s="81">
        <f t="shared" si="13"/>
        <v>846</v>
      </c>
      <c r="B847" s="82" t="s">
        <v>1701</v>
      </c>
      <c r="C847" s="83" t="s">
        <v>34</v>
      </c>
      <c r="D847" s="83" t="s">
        <v>35</v>
      </c>
      <c r="E847" s="84">
        <v>300</v>
      </c>
      <c r="F847" s="85">
        <v>25.74</v>
      </c>
      <c r="G847" s="83" t="s">
        <v>885</v>
      </c>
      <c r="H847" s="83" t="s">
        <v>1360</v>
      </c>
      <c r="I847" s="85">
        <f>Planejamento2024[[#This Row],[Qnt de Itens]]*Planejamento2024[[#This Row],[Valor unitário]]</f>
        <v>7721.9999999999991</v>
      </c>
      <c r="J847" s="83" t="s">
        <v>20</v>
      </c>
      <c r="K847" s="83" t="s">
        <v>478</v>
      </c>
      <c r="L847" s="86">
        <v>45292</v>
      </c>
      <c r="M847" s="83" t="s">
        <v>20</v>
      </c>
      <c r="N847" s="87" t="s">
        <v>1361</v>
      </c>
      <c r="O847" s="83" t="s">
        <v>827</v>
      </c>
    </row>
    <row r="848" spans="1:15" ht="18">
      <c r="A848" s="81">
        <f t="shared" si="13"/>
        <v>847</v>
      </c>
      <c r="B848" s="82" t="s">
        <v>1702</v>
      </c>
      <c r="C848" s="83" t="s">
        <v>34</v>
      </c>
      <c r="D848" s="83" t="s">
        <v>35</v>
      </c>
      <c r="E848" s="84">
        <v>200</v>
      </c>
      <c r="F848" s="85">
        <v>56.35</v>
      </c>
      <c r="G848" s="83" t="s">
        <v>885</v>
      </c>
      <c r="H848" s="83" t="s">
        <v>1360</v>
      </c>
      <c r="I848" s="85">
        <f>Planejamento2024[[#This Row],[Qnt de Itens]]*Planejamento2024[[#This Row],[Valor unitário]]</f>
        <v>11270</v>
      </c>
      <c r="J848" s="83" t="s">
        <v>20</v>
      </c>
      <c r="K848" s="83" t="s">
        <v>478</v>
      </c>
      <c r="L848" s="86">
        <v>45292</v>
      </c>
      <c r="M848" s="83" t="s">
        <v>20</v>
      </c>
      <c r="N848" s="87" t="s">
        <v>1361</v>
      </c>
      <c r="O848" s="83" t="s">
        <v>827</v>
      </c>
    </row>
    <row r="849" spans="1:15" ht="18">
      <c r="A849" s="81">
        <f t="shared" si="13"/>
        <v>848</v>
      </c>
      <c r="B849" s="82" t="s">
        <v>1703</v>
      </c>
      <c r="C849" s="83" t="s">
        <v>34</v>
      </c>
      <c r="D849" s="83" t="s">
        <v>35</v>
      </c>
      <c r="E849" s="84">
        <v>100</v>
      </c>
      <c r="F849" s="85">
        <v>23.03</v>
      </c>
      <c r="G849" s="83" t="s">
        <v>885</v>
      </c>
      <c r="H849" s="83" t="s">
        <v>1360</v>
      </c>
      <c r="I849" s="85">
        <f>Planejamento2024[[#This Row],[Qnt de Itens]]*Planejamento2024[[#This Row],[Valor unitário]]</f>
        <v>2303</v>
      </c>
      <c r="J849" s="83" t="s">
        <v>20</v>
      </c>
      <c r="K849" s="83" t="s">
        <v>478</v>
      </c>
      <c r="L849" s="86">
        <v>45292</v>
      </c>
      <c r="M849" s="83" t="s">
        <v>20</v>
      </c>
      <c r="N849" s="87" t="s">
        <v>1361</v>
      </c>
      <c r="O849" s="83" t="s">
        <v>827</v>
      </c>
    </row>
    <row r="850" spans="1:15" ht="27">
      <c r="A850" s="81">
        <f t="shared" si="13"/>
        <v>849</v>
      </c>
      <c r="B850" s="82" t="s">
        <v>1704</v>
      </c>
      <c r="C850" s="83" t="s">
        <v>34</v>
      </c>
      <c r="D850" s="83" t="s">
        <v>35</v>
      </c>
      <c r="E850" s="84">
        <v>100</v>
      </c>
      <c r="F850" s="85">
        <v>26.13</v>
      </c>
      <c r="G850" s="83" t="s">
        <v>885</v>
      </c>
      <c r="H850" s="83" t="s">
        <v>1360</v>
      </c>
      <c r="I850" s="85">
        <f>Planejamento2024[[#This Row],[Qnt de Itens]]*Planejamento2024[[#This Row],[Valor unitário]]</f>
        <v>2613</v>
      </c>
      <c r="J850" s="83" t="s">
        <v>20</v>
      </c>
      <c r="K850" s="83" t="s">
        <v>478</v>
      </c>
      <c r="L850" s="86">
        <v>45292</v>
      </c>
      <c r="M850" s="83" t="s">
        <v>20</v>
      </c>
      <c r="N850" s="87" t="s">
        <v>1361</v>
      </c>
      <c r="O850" s="83" t="s">
        <v>827</v>
      </c>
    </row>
    <row r="851" spans="1:15" ht="18">
      <c r="A851" s="81">
        <f t="shared" si="13"/>
        <v>850</v>
      </c>
      <c r="B851" s="82" t="s">
        <v>1705</v>
      </c>
      <c r="C851" s="83" t="s">
        <v>34</v>
      </c>
      <c r="D851" s="83" t="s">
        <v>35</v>
      </c>
      <c r="E851" s="84">
        <v>200</v>
      </c>
      <c r="F851" s="85">
        <v>18.579999999999998</v>
      </c>
      <c r="G851" s="83" t="s">
        <v>885</v>
      </c>
      <c r="H851" s="83" t="s">
        <v>1360</v>
      </c>
      <c r="I851" s="85">
        <f>Planejamento2024[[#This Row],[Qnt de Itens]]*Planejamento2024[[#This Row],[Valor unitário]]</f>
        <v>3715.9999999999995</v>
      </c>
      <c r="J851" s="83" t="s">
        <v>20</v>
      </c>
      <c r="K851" s="83" t="s">
        <v>478</v>
      </c>
      <c r="L851" s="86">
        <v>45292</v>
      </c>
      <c r="M851" s="83" t="s">
        <v>20</v>
      </c>
      <c r="N851" s="87" t="s">
        <v>1361</v>
      </c>
      <c r="O851" s="83" t="s">
        <v>827</v>
      </c>
    </row>
    <row r="852" spans="1:15" ht="18">
      <c r="A852" s="81">
        <f t="shared" si="13"/>
        <v>851</v>
      </c>
      <c r="B852" s="82" t="s">
        <v>1706</v>
      </c>
      <c r="C852" s="83" t="s">
        <v>34</v>
      </c>
      <c r="D852" s="83" t="s">
        <v>35</v>
      </c>
      <c r="E852" s="84">
        <v>200</v>
      </c>
      <c r="F852" s="85">
        <v>17.68</v>
      </c>
      <c r="G852" s="83" t="s">
        <v>885</v>
      </c>
      <c r="H852" s="83" t="s">
        <v>1360</v>
      </c>
      <c r="I852" s="85">
        <f>Planejamento2024[[#This Row],[Qnt de Itens]]*Planejamento2024[[#This Row],[Valor unitário]]</f>
        <v>3536</v>
      </c>
      <c r="J852" s="83" t="s">
        <v>20</v>
      </c>
      <c r="K852" s="83" t="s">
        <v>478</v>
      </c>
      <c r="L852" s="86">
        <v>45292</v>
      </c>
      <c r="M852" s="83" t="s">
        <v>20</v>
      </c>
      <c r="N852" s="87" t="s">
        <v>1361</v>
      </c>
      <c r="O852" s="83" t="s">
        <v>827</v>
      </c>
    </row>
    <row r="853" spans="1:15" ht="18">
      <c r="A853" s="81">
        <f t="shared" si="13"/>
        <v>852</v>
      </c>
      <c r="B853" s="82" t="s">
        <v>1707</v>
      </c>
      <c r="C853" s="83" t="s">
        <v>34</v>
      </c>
      <c r="D853" s="83" t="s">
        <v>35</v>
      </c>
      <c r="E853" s="84">
        <v>300</v>
      </c>
      <c r="F853" s="85">
        <v>49.3</v>
      </c>
      <c r="G853" s="83" t="s">
        <v>885</v>
      </c>
      <c r="H853" s="83" t="s">
        <v>1360</v>
      </c>
      <c r="I853" s="85">
        <f>Planejamento2024[[#This Row],[Qnt de Itens]]*Planejamento2024[[#This Row],[Valor unitário]]</f>
        <v>14790</v>
      </c>
      <c r="J853" s="83" t="s">
        <v>20</v>
      </c>
      <c r="K853" s="83" t="s">
        <v>478</v>
      </c>
      <c r="L853" s="86">
        <v>45292</v>
      </c>
      <c r="M853" s="83" t="s">
        <v>20</v>
      </c>
      <c r="N853" s="87" t="s">
        <v>1361</v>
      </c>
      <c r="O853" s="83" t="s">
        <v>827</v>
      </c>
    </row>
    <row r="854" spans="1:15" ht="36">
      <c r="A854" s="81">
        <f t="shared" si="13"/>
        <v>853</v>
      </c>
      <c r="B854" s="82" t="s">
        <v>1708</v>
      </c>
      <c r="C854" s="83" t="s">
        <v>34</v>
      </c>
      <c r="D854" s="83" t="s">
        <v>35</v>
      </c>
      <c r="E854" s="84">
        <v>300</v>
      </c>
      <c r="F854" s="85">
        <v>30.87</v>
      </c>
      <c r="G854" s="83" t="s">
        <v>885</v>
      </c>
      <c r="H854" s="83" t="s">
        <v>1360</v>
      </c>
      <c r="I854" s="85">
        <f>Planejamento2024[[#This Row],[Qnt de Itens]]*Planejamento2024[[#This Row],[Valor unitário]]</f>
        <v>9261</v>
      </c>
      <c r="J854" s="83" t="s">
        <v>20</v>
      </c>
      <c r="K854" s="83" t="s">
        <v>478</v>
      </c>
      <c r="L854" s="86">
        <v>45292</v>
      </c>
      <c r="M854" s="83" t="s">
        <v>20</v>
      </c>
      <c r="N854" s="87" t="s">
        <v>1361</v>
      </c>
      <c r="O854" s="83" t="s">
        <v>827</v>
      </c>
    </row>
    <row r="855" spans="1:15" ht="18">
      <c r="A855" s="81">
        <f t="shared" si="13"/>
        <v>854</v>
      </c>
      <c r="B855" s="82" t="s">
        <v>1709</v>
      </c>
      <c r="C855" s="83" t="s">
        <v>34</v>
      </c>
      <c r="D855" s="83" t="s">
        <v>35</v>
      </c>
      <c r="E855" s="84">
        <v>200</v>
      </c>
      <c r="F855" s="85">
        <v>28.31</v>
      </c>
      <c r="G855" s="83" t="s">
        <v>885</v>
      </c>
      <c r="H855" s="83" t="s">
        <v>1360</v>
      </c>
      <c r="I855" s="85">
        <f>Planejamento2024[[#This Row],[Qnt de Itens]]*Planejamento2024[[#This Row],[Valor unitário]]</f>
        <v>5662</v>
      </c>
      <c r="J855" s="83" t="s">
        <v>20</v>
      </c>
      <c r="K855" s="83" t="s">
        <v>478</v>
      </c>
      <c r="L855" s="86">
        <v>45292</v>
      </c>
      <c r="M855" s="83" t="s">
        <v>20</v>
      </c>
      <c r="N855" s="87" t="s">
        <v>1361</v>
      </c>
      <c r="O855" s="83" t="s">
        <v>827</v>
      </c>
    </row>
    <row r="856" spans="1:15" ht="18">
      <c r="A856" s="81">
        <f t="shared" si="13"/>
        <v>855</v>
      </c>
      <c r="B856" s="82" t="s">
        <v>1710</v>
      </c>
      <c r="C856" s="83" t="s">
        <v>34</v>
      </c>
      <c r="D856" s="83" t="s">
        <v>35</v>
      </c>
      <c r="E856" s="84">
        <v>300</v>
      </c>
      <c r="F856" s="85">
        <v>8.48</v>
      </c>
      <c r="G856" s="83" t="s">
        <v>885</v>
      </c>
      <c r="H856" s="83" t="s">
        <v>1360</v>
      </c>
      <c r="I856" s="85">
        <f>Planejamento2024[[#This Row],[Qnt de Itens]]*Planejamento2024[[#This Row],[Valor unitário]]</f>
        <v>2544</v>
      </c>
      <c r="J856" s="83" t="s">
        <v>20</v>
      </c>
      <c r="K856" s="83" t="s">
        <v>478</v>
      </c>
      <c r="L856" s="86">
        <v>45292</v>
      </c>
      <c r="M856" s="83" t="s">
        <v>20</v>
      </c>
      <c r="N856" s="87" t="s">
        <v>1361</v>
      </c>
      <c r="O856" s="83" t="s">
        <v>827</v>
      </c>
    </row>
    <row r="857" spans="1:15" ht="18">
      <c r="A857" s="81">
        <f t="shared" si="13"/>
        <v>856</v>
      </c>
      <c r="B857" s="82" t="s">
        <v>1711</v>
      </c>
      <c r="C857" s="83" t="s">
        <v>34</v>
      </c>
      <c r="D857" s="83" t="s">
        <v>35</v>
      </c>
      <c r="E857" s="84">
        <v>100</v>
      </c>
      <c r="F857" s="85">
        <v>165.1</v>
      </c>
      <c r="G857" s="83" t="s">
        <v>885</v>
      </c>
      <c r="H857" s="83" t="s">
        <v>1360</v>
      </c>
      <c r="I857" s="85">
        <f>Planejamento2024[[#This Row],[Qnt de Itens]]*Planejamento2024[[#This Row],[Valor unitário]]</f>
        <v>16510</v>
      </c>
      <c r="J857" s="83" t="s">
        <v>20</v>
      </c>
      <c r="K857" s="83" t="s">
        <v>478</v>
      </c>
      <c r="L857" s="86">
        <v>45292</v>
      </c>
      <c r="M857" s="83" t="s">
        <v>20</v>
      </c>
      <c r="N857" s="87" t="s">
        <v>1361</v>
      </c>
      <c r="O857" s="83" t="s">
        <v>827</v>
      </c>
    </row>
    <row r="858" spans="1:15" ht="36">
      <c r="A858" s="81">
        <f t="shared" si="13"/>
        <v>857</v>
      </c>
      <c r="B858" s="82" t="s">
        <v>1712</v>
      </c>
      <c r="C858" s="83" t="s">
        <v>34</v>
      </c>
      <c r="D858" s="83" t="s">
        <v>35</v>
      </c>
      <c r="E858" s="84">
        <v>100</v>
      </c>
      <c r="F858" s="85">
        <v>211.35</v>
      </c>
      <c r="G858" s="83" t="s">
        <v>885</v>
      </c>
      <c r="H858" s="83" t="s">
        <v>1360</v>
      </c>
      <c r="I858" s="85">
        <f>Planejamento2024[[#This Row],[Qnt de Itens]]*Planejamento2024[[#This Row],[Valor unitário]]</f>
        <v>21135</v>
      </c>
      <c r="J858" s="83" t="s">
        <v>20</v>
      </c>
      <c r="K858" s="83" t="s">
        <v>478</v>
      </c>
      <c r="L858" s="86">
        <v>45292</v>
      </c>
      <c r="M858" s="83" t="s">
        <v>20</v>
      </c>
      <c r="N858" s="87" t="s">
        <v>1361</v>
      </c>
      <c r="O858" s="83" t="s">
        <v>827</v>
      </c>
    </row>
    <row r="859" spans="1:15" ht="36">
      <c r="A859" s="81">
        <f t="shared" si="13"/>
        <v>858</v>
      </c>
      <c r="B859" s="82" t="s">
        <v>1713</v>
      </c>
      <c r="C859" s="83" t="s">
        <v>34</v>
      </c>
      <c r="D859" s="83" t="s">
        <v>35</v>
      </c>
      <c r="E859" s="84">
        <v>100</v>
      </c>
      <c r="F859" s="85">
        <v>288.94</v>
      </c>
      <c r="G859" s="83" t="s">
        <v>885</v>
      </c>
      <c r="H859" s="83" t="s">
        <v>1360</v>
      </c>
      <c r="I859" s="85">
        <f>Planejamento2024[[#This Row],[Qnt de Itens]]*Planejamento2024[[#This Row],[Valor unitário]]</f>
        <v>28894</v>
      </c>
      <c r="J859" s="83" t="s">
        <v>20</v>
      </c>
      <c r="K859" s="83" t="s">
        <v>478</v>
      </c>
      <c r="L859" s="86">
        <v>45292</v>
      </c>
      <c r="M859" s="83" t="s">
        <v>20</v>
      </c>
      <c r="N859" s="87" t="s">
        <v>1361</v>
      </c>
      <c r="O859" s="83" t="s">
        <v>827</v>
      </c>
    </row>
    <row r="860" spans="1:15" ht="36">
      <c r="A860" s="81">
        <f t="shared" si="13"/>
        <v>859</v>
      </c>
      <c r="B860" s="82" t="s">
        <v>1714</v>
      </c>
      <c r="C860" s="83" t="s">
        <v>34</v>
      </c>
      <c r="D860" s="83" t="s">
        <v>35</v>
      </c>
      <c r="E860" s="84">
        <v>100</v>
      </c>
      <c r="F860" s="85">
        <v>334.83</v>
      </c>
      <c r="G860" s="83" t="s">
        <v>885</v>
      </c>
      <c r="H860" s="83" t="s">
        <v>1360</v>
      </c>
      <c r="I860" s="85">
        <f>Planejamento2024[[#This Row],[Qnt de Itens]]*Planejamento2024[[#This Row],[Valor unitário]]</f>
        <v>33483</v>
      </c>
      <c r="J860" s="83" t="s">
        <v>20</v>
      </c>
      <c r="K860" s="83" t="s">
        <v>478</v>
      </c>
      <c r="L860" s="86">
        <v>45292</v>
      </c>
      <c r="M860" s="83" t="s">
        <v>20</v>
      </c>
      <c r="N860" s="87" t="s">
        <v>1361</v>
      </c>
      <c r="O860" s="83" t="s">
        <v>827</v>
      </c>
    </row>
    <row r="861" spans="1:15" ht="27">
      <c r="A861" s="81">
        <f t="shared" si="13"/>
        <v>860</v>
      </c>
      <c r="B861" s="82" t="s">
        <v>1715</v>
      </c>
      <c r="C861" s="83" t="s">
        <v>34</v>
      </c>
      <c r="D861" s="83" t="s">
        <v>35</v>
      </c>
      <c r="E861" s="84">
        <v>50</v>
      </c>
      <c r="F861" s="85">
        <v>315.39</v>
      </c>
      <c r="G861" s="83" t="s">
        <v>885</v>
      </c>
      <c r="H861" s="83" t="s">
        <v>1360</v>
      </c>
      <c r="I861" s="85">
        <f>Planejamento2024[[#This Row],[Qnt de Itens]]*Planejamento2024[[#This Row],[Valor unitário]]</f>
        <v>15769.5</v>
      </c>
      <c r="J861" s="83" t="s">
        <v>20</v>
      </c>
      <c r="K861" s="83" t="s">
        <v>478</v>
      </c>
      <c r="L861" s="86">
        <v>45292</v>
      </c>
      <c r="M861" s="83" t="s">
        <v>20</v>
      </c>
      <c r="N861" s="87" t="s">
        <v>1361</v>
      </c>
      <c r="O861" s="83" t="s">
        <v>827</v>
      </c>
    </row>
    <row r="862" spans="1:15" ht="27">
      <c r="A862" s="81">
        <f t="shared" si="13"/>
        <v>861</v>
      </c>
      <c r="B862" s="82" t="s">
        <v>1716</v>
      </c>
      <c r="C862" s="83" t="s">
        <v>34</v>
      </c>
      <c r="D862" s="83" t="s">
        <v>35</v>
      </c>
      <c r="E862" s="84">
        <v>100</v>
      </c>
      <c r="F862" s="85">
        <v>54</v>
      </c>
      <c r="G862" s="83" t="s">
        <v>1496</v>
      </c>
      <c r="H862" s="83" t="s">
        <v>1360</v>
      </c>
      <c r="I862" s="85">
        <f>Planejamento2024[[#This Row],[Qnt de Itens]]*Planejamento2024[[#This Row],[Valor unitário]]</f>
        <v>5400</v>
      </c>
      <c r="J862" s="83" t="s">
        <v>20</v>
      </c>
      <c r="K862" s="83" t="s">
        <v>478</v>
      </c>
      <c r="L862" s="86">
        <v>45292</v>
      </c>
      <c r="M862" s="83" t="s">
        <v>20</v>
      </c>
      <c r="N862" s="87" t="s">
        <v>1361</v>
      </c>
      <c r="O862" s="83" t="s">
        <v>827</v>
      </c>
    </row>
    <row r="863" spans="1:15" ht="18">
      <c r="A863" s="81">
        <f t="shared" si="13"/>
        <v>862</v>
      </c>
      <c r="B863" s="82" t="s">
        <v>1717</v>
      </c>
      <c r="C863" s="83" t="s">
        <v>34</v>
      </c>
      <c r="D863" s="83" t="s">
        <v>35</v>
      </c>
      <c r="E863" s="84">
        <v>200</v>
      </c>
      <c r="F863" s="85">
        <v>72.900000000000006</v>
      </c>
      <c r="G863" s="83" t="s">
        <v>1496</v>
      </c>
      <c r="H863" s="83" t="s">
        <v>1360</v>
      </c>
      <c r="I863" s="85">
        <f>Planejamento2024[[#This Row],[Qnt de Itens]]*Planejamento2024[[#This Row],[Valor unitário]]</f>
        <v>14580.000000000002</v>
      </c>
      <c r="J863" s="83" t="s">
        <v>20</v>
      </c>
      <c r="K863" s="83" t="s">
        <v>478</v>
      </c>
      <c r="L863" s="86">
        <v>45292</v>
      </c>
      <c r="M863" s="83" t="s">
        <v>20</v>
      </c>
      <c r="N863" s="87" t="s">
        <v>1361</v>
      </c>
      <c r="O863" s="83" t="s">
        <v>827</v>
      </c>
    </row>
    <row r="864" spans="1:15" ht="18">
      <c r="A864" s="81">
        <f t="shared" si="13"/>
        <v>863</v>
      </c>
      <c r="B864" s="82" t="s">
        <v>1718</v>
      </c>
      <c r="C864" s="83" t="s">
        <v>34</v>
      </c>
      <c r="D864" s="83" t="s">
        <v>35</v>
      </c>
      <c r="E864" s="84">
        <v>200</v>
      </c>
      <c r="F864" s="85">
        <v>10.65</v>
      </c>
      <c r="G864" s="83" t="s">
        <v>1496</v>
      </c>
      <c r="H864" s="83" t="s">
        <v>1360</v>
      </c>
      <c r="I864" s="85">
        <f>Planejamento2024[[#This Row],[Qnt de Itens]]*Planejamento2024[[#This Row],[Valor unitário]]</f>
        <v>2130</v>
      </c>
      <c r="J864" s="83" t="s">
        <v>20</v>
      </c>
      <c r="K864" s="83" t="s">
        <v>478</v>
      </c>
      <c r="L864" s="86">
        <v>45292</v>
      </c>
      <c r="M864" s="83" t="s">
        <v>20</v>
      </c>
      <c r="N864" s="87" t="s">
        <v>1361</v>
      </c>
      <c r="O864" s="83" t="s">
        <v>827</v>
      </c>
    </row>
    <row r="865" spans="1:15" ht="18">
      <c r="A865" s="81">
        <f t="shared" si="13"/>
        <v>864</v>
      </c>
      <c r="B865" s="82" t="s">
        <v>1719</v>
      </c>
      <c r="C865" s="83" t="s">
        <v>34</v>
      </c>
      <c r="D865" s="83" t="s">
        <v>35</v>
      </c>
      <c r="E865" s="84">
        <v>200</v>
      </c>
      <c r="F865" s="85">
        <v>16.829999999999998</v>
      </c>
      <c r="G865" s="83" t="s">
        <v>1496</v>
      </c>
      <c r="H865" s="83" t="s">
        <v>1360</v>
      </c>
      <c r="I865" s="85">
        <f>Planejamento2024[[#This Row],[Qnt de Itens]]*Planejamento2024[[#This Row],[Valor unitário]]</f>
        <v>3365.9999999999995</v>
      </c>
      <c r="J865" s="83" t="s">
        <v>20</v>
      </c>
      <c r="K865" s="83" t="s">
        <v>478</v>
      </c>
      <c r="L865" s="86">
        <v>45292</v>
      </c>
      <c r="M865" s="83" t="s">
        <v>20</v>
      </c>
      <c r="N865" s="87" t="s">
        <v>1361</v>
      </c>
      <c r="O865" s="83" t="s">
        <v>827</v>
      </c>
    </row>
    <row r="866" spans="1:15" ht="27">
      <c r="A866" s="81">
        <f t="shared" si="13"/>
        <v>865</v>
      </c>
      <c r="B866" s="82" t="s">
        <v>1720</v>
      </c>
      <c r="C866" s="83" t="s">
        <v>25</v>
      </c>
      <c r="D866" s="83" t="s">
        <v>17</v>
      </c>
      <c r="E866" s="84">
        <v>12</v>
      </c>
      <c r="F866" s="85"/>
      <c r="G866" s="83" t="s">
        <v>18</v>
      </c>
      <c r="H866" s="83" t="s">
        <v>1360</v>
      </c>
      <c r="I866" s="85">
        <f>Planejamento2024[[#This Row],[Qnt de Itens]]*Planejamento2024[[#This Row],[Valor unitário]]</f>
        <v>0</v>
      </c>
      <c r="J866" s="83" t="s">
        <v>20</v>
      </c>
      <c r="K866" s="83" t="s">
        <v>415</v>
      </c>
      <c r="L866" s="86">
        <v>45292</v>
      </c>
      <c r="M866" s="83" t="s">
        <v>38</v>
      </c>
      <c r="N866" s="87" t="s">
        <v>1721</v>
      </c>
      <c r="O866" s="83" t="s">
        <v>827</v>
      </c>
    </row>
    <row r="867" spans="1:15" ht="27">
      <c r="A867" s="81">
        <f t="shared" si="13"/>
        <v>866</v>
      </c>
      <c r="B867" s="82" t="s">
        <v>1722</v>
      </c>
      <c r="C867" s="83" t="s">
        <v>25</v>
      </c>
      <c r="D867" s="83" t="s">
        <v>17</v>
      </c>
      <c r="E867" s="84">
        <v>12</v>
      </c>
      <c r="F867" s="85">
        <v>2226.67</v>
      </c>
      <c r="G867" s="83" t="s">
        <v>18</v>
      </c>
      <c r="H867" s="83" t="s">
        <v>1360</v>
      </c>
      <c r="I867" s="85">
        <f>Planejamento2024[[#This Row],[Qnt de Itens]]*Planejamento2024[[#This Row],[Valor unitário]]</f>
        <v>26720.04</v>
      </c>
      <c r="J867" s="83" t="s">
        <v>20</v>
      </c>
      <c r="K867" s="83" t="s">
        <v>415</v>
      </c>
      <c r="L867" s="86">
        <v>45292</v>
      </c>
      <c r="M867" s="83" t="s">
        <v>38</v>
      </c>
      <c r="N867" s="87" t="s">
        <v>1723</v>
      </c>
      <c r="O867" s="83" t="s">
        <v>827</v>
      </c>
    </row>
    <row r="868" spans="1:15" ht="27">
      <c r="A868" s="81">
        <f t="shared" si="13"/>
        <v>867</v>
      </c>
      <c r="B868" s="82" t="s">
        <v>1724</v>
      </c>
      <c r="C868" s="83" t="s">
        <v>25</v>
      </c>
      <c r="D868" s="83" t="s">
        <v>35</v>
      </c>
      <c r="E868" s="84">
        <v>24</v>
      </c>
      <c r="F868" s="85">
        <v>230</v>
      </c>
      <c r="G868" s="83" t="s">
        <v>885</v>
      </c>
      <c r="H868" s="83" t="s">
        <v>1360</v>
      </c>
      <c r="I868" s="85">
        <f>Planejamento2024[[#This Row],[Qnt de Itens]]*Planejamento2024[[#This Row],[Valor unitário]]</f>
        <v>5520</v>
      </c>
      <c r="J868" s="83" t="s">
        <v>38</v>
      </c>
      <c r="K868" s="83" t="s">
        <v>492</v>
      </c>
      <c r="L868" s="86">
        <v>45390</v>
      </c>
      <c r="M868" s="83"/>
      <c r="N868" s="87" t="s">
        <v>1725</v>
      </c>
      <c r="O868" s="83" t="s">
        <v>827</v>
      </c>
    </row>
    <row r="869" spans="1:15" ht="27">
      <c r="A869" s="81">
        <f t="shared" si="13"/>
        <v>868</v>
      </c>
      <c r="B869" s="82" t="s">
        <v>1726</v>
      </c>
      <c r="C869" s="83" t="s">
        <v>34</v>
      </c>
      <c r="D869" s="83" t="s">
        <v>35</v>
      </c>
      <c r="E869" s="84">
        <v>100</v>
      </c>
      <c r="F869" s="85">
        <v>20.92</v>
      </c>
      <c r="G869" s="83" t="s">
        <v>885</v>
      </c>
      <c r="H869" s="83" t="s">
        <v>1360</v>
      </c>
      <c r="I869" s="85">
        <f>Planejamento2024[[#This Row],[Qnt de Itens]]*Planejamento2024[[#This Row],[Valor unitário]]</f>
        <v>2092</v>
      </c>
      <c r="J869" s="83" t="s">
        <v>20</v>
      </c>
      <c r="K869" s="83" t="s">
        <v>478</v>
      </c>
      <c r="L869" s="86">
        <v>45292</v>
      </c>
      <c r="M869" s="83" t="s">
        <v>20</v>
      </c>
      <c r="N869" s="87" t="s">
        <v>1361</v>
      </c>
      <c r="O869" s="83" t="s">
        <v>827</v>
      </c>
    </row>
    <row r="870" spans="1:15" ht="27">
      <c r="A870" s="81">
        <f t="shared" si="13"/>
        <v>869</v>
      </c>
      <c r="B870" s="82" t="s">
        <v>1727</v>
      </c>
      <c r="C870" s="83" t="s">
        <v>34</v>
      </c>
      <c r="D870" s="83" t="s">
        <v>35</v>
      </c>
      <c r="E870" s="84">
        <v>100</v>
      </c>
      <c r="F870" s="85">
        <v>29.41</v>
      </c>
      <c r="G870" s="83" t="s">
        <v>885</v>
      </c>
      <c r="H870" s="83" t="s">
        <v>1360</v>
      </c>
      <c r="I870" s="85">
        <f>Planejamento2024[[#This Row],[Qnt de Itens]]*Planejamento2024[[#This Row],[Valor unitário]]</f>
        <v>2941</v>
      </c>
      <c r="J870" s="83" t="s">
        <v>20</v>
      </c>
      <c r="K870" s="83" t="s">
        <v>478</v>
      </c>
      <c r="L870" s="86">
        <v>45292</v>
      </c>
      <c r="M870" s="83" t="s">
        <v>20</v>
      </c>
      <c r="N870" s="87" t="s">
        <v>1361</v>
      </c>
      <c r="O870" s="83" t="s">
        <v>827</v>
      </c>
    </row>
    <row r="871" spans="1:15" ht="27">
      <c r="A871" s="81">
        <f t="shared" si="13"/>
        <v>870</v>
      </c>
      <c r="B871" s="82" t="s">
        <v>1728</v>
      </c>
      <c r="C871" s="83" t="s">
        <v>34</v>
      </c>
      <c r="D871" s="83" t="s">
        <v>35</v>
      </c>
      <c r="E871" s="84">
        <v>100</v>
      </c>
      <c r="F871" s="85">
        <v>50.82</v>
      </c>
      <c r="G871" s="83" t="s">
        <v>885</v>
      </c>
      <c r="H871" s="83" t="s">
        <v>1360</v>
      </c>
      <c r="I871" s="85">
        <f>Planejamento2024[[#This Row],[Qnt de Itens]]*Planejamento2024[[#This Row],[Valor unitário]]</f>
        <v>5082</v>
      </c>
      <c r="J871" s="83" t="s">
        <v>20</v>
      </c>
      <c r="K871" s="83" t="s">
        <v>478</v>
      </c>
      <c r="L871" s="86">
        <v>45292</v>
      </c>
      <c r="M871" s="83" t="s">
        <v>20</v>
      </c>
      <c r="N871" s="87" t="s">
        <v>1361</v>
      </c>
      <c r="O871" s="83" t="s">
        <v>827</v>
      </c>
    </row>
    <row r="872" spans="1:15" ht="18">
      <c r="A872" s="81">
        <f t="shared" si="13"/>
        <v>871</v>
      </c>
      <c r="B872" s="82" t="s">
        <v>1729</v>
      </c>
      <c r="C872" s="83" t="s">
        <v>34</v>
      </c>
      <c r="D872" s="83" t="s">
        <v>35</v>
      </c>
      <c r="E872" s="84">
        <v>100</v>
      </c>
      <c r="F872" s="85">
        <v>63.42</v>
      </c>
      <c r="G872" s="83" t="s">
        <v>885</v>
      </c>
      <c r="H872" s="83" t="s">
        <v>1360</v>
      </c>
      <c r="I872" s="85">
        <f>Planejamento2024[[#This Row],[Qnt de Itens]]*Planejamento2024[[#This Row],[Valor unitário]]</f>
        <v>6342</v>
      </c>
      <c r="J872" s="83" t="s">
        <v>20</v>
      </c>
      <c r="K872" s="83" t="s">
        <v>478</v>
      </c>
      <c r="L872" s="86">
        <v>45292</v>
      </c>
      <c r="M872" s="83" t="s">
        <v>20</v>
      </c>
      <c r="N872" s="87" t="s">
        <v>1361</v>
      </c>
      <c r="O872" s="83" t="s">
        <v>827</v>
      </c>
    </row>
    <row r="873" spans="1:15" ht="18">
      <c r="A873" s="81">
        <f t="shared" si="13"/>
        <v>872</v>
      </c>
      <c r="B873" s="82" t="s">
        <v>1730</v>
      </c>
      <c r="C873" s="83" t="s">
        <v>34</v>
      </c>
      <c r="D873" s="83" t="s">
        <v>35</v>
      </c>
      <c r="E873" s="84">
        <v>100</v>
      </c>
      <c r="F873" s="85">
        <v>78.17</v>
      </c>
      <c r="G873" s="83" t="s">
        <v>885</v>
      </c>
      <c r="H873" s="83" t="s">
        <v>1360</v>
      </c>
      <c r="I873" s="85">
        <f>Planejamento2024[[#This Row],[Qnt de Itens]]*Planejamento2024[[#This Row],[Valor unitário]]</f>
        <v>7817</v>
      </c>
      <c r="J873" s="83" t="s">
        <v>20</v>
      </c>
      <c r="K873" s="83" t="s">
        <v>478</v>
      </c>
      <c r="L873" s="86">
        <v>45292</v>
      </c>
      <c r="M873" s="83" t="s">
        <v>20</v>
      </c>
      <c r="N873" s="87" t="s">
        <v>1361</v>
      </c>
      <c r="O873" s="83" t="s">
        <v>827</v>
      </c>
    </row>
    <row r="874" spans="1:15" ht="18">
      <c r="A874" s="81">
        <f t="shared" si="13"/>
        <v>873</v>
      </c>
      <c r="B874" s="82" t="s">
        <v>1731</v>
      </c>
      <c r="C874" s="83" t="s">
        <v>34</v>
      </c>
      <c r="D874" s="83" t="s">
        <v>35</v>
      </c>
      <c r="E874" s="84">
        <v>50</v>
      </c>
      <c r="F874" s="85">
        <v>229.97</v>
      </c>
      <c r="G874" s="83" t="s">
        <v>885</v>
      </c>
      <c r="H874" s="83" t="s">
        <v>1360</v>
      </c>
      <c r="I874" s="85">
        <f>Planejamento2024[[#This Row],[Qnt de Itens]]*Planejamento2024[[#This Row],[Valor unitário]]</f>
        <v>11498.5</v>
      </c>
      <c r="J874" s="83" t="s">
        <v>20</v>
      </c>
      <c r="K874" s="83" t="s">
        <v>478</v>
      </c>
      <c r="L874" s="86">
        <v>45292</v>
      </c>
      <c r="M874" s="83" t="s">
        <v>20</v>
      </c>
      <c r="N874" s="87" t="s">
        <v>1361</v>
      </c>
      <c r="O874" s="83" t="s">
        <v>827</v>
      </c>
    </row>
    <row r="875" spans="1:15" ht="36">
      <c r="A875" s="81">
        <f t="shared" si="13"/>
        <v>874</v>
      </c>
      <c r="B875" s="82" t="s">
        <v>1732</v>
      </c>
      <c r="C875" s="83" t="s">
        <v>34</v>
      </c>
      <c r="D875" s="83" t="s">
        <v>35</v>
      </c>
      <c r="E875" s="84">
        <v>50</v>
      </c>
      <c r="F875" s="85">
        <v>92</v>
      </c>
      <c r="G875" s="83" t="s">
        <v>885</v>
      </c>
      <c r="H875" s="83" t="s">
        <v>1360</v>
      </c>
      <c r="I875" s="85">
        <f>Planejamento2024[[#This Row],[Qnt de Itens]]*Planejamento2024[[#This Row],[Valor unitário]]</f>
        <v>4600</v>
      </c>
      <c r="J875" s="83" t="s">
        <v>20</v>
      </c>
      <c r="K875" s="83" t="s">
        <v>478</v>
      </c>
      <c r="L875" s="86">
        <v>45292</v>
      </c>
      <c r="M875" s="83" t="s">
        <v>20</v>
      </c>
      <c r="N875" s="87" t="s">
        <v>1361</v>
      </c>
      <c r="O875" s="83" t="s">
        <v>827</v>
      </c>
    </row>
    <row r="876" spans="1:15" ht="27">
      <c r="A876" s="81">
        <f t="shared" si="13"/>
        <v>875</v>
      </c>
      <c r="B876" s="82" t="s">
        <v>1733</v>
      </c>
      <c r="C876" s="83" t="s">
        <v>34</v>
      </c>
      <c r="D876" s="83" t="s">
        <v>35</v>
      </c>
      <c r="E876" s="84">
        <v>50</v>
      </c>
      <c r="F876" s="85">
        <v>41.87</v>
      </c>
      <c r="G876" s="83" t="s">
        <v>885</v>
      </c>
      <c r="H876" s="83" t="s">
        <v>1360</v>
      </c>
      <c r="I876" s="85">
        <f>Planejamento2024[[#This Row],[Qnt de Itens]]*Planejamento2024[[#This Row],[Valor unitário]]</f>
        <v>2093.5</v>
      </c>
      <c r="J876" s="83" t="s">
        <v>20</v>
      </c>
      <c r="K876" s="83" t="s">
        <v>478</v>
      </c>
      <c r="L876" s="86">
        <v>45292</v>
      </c>
      <c r="M876" s="83" t="s">
        <v>20</v>
      </c>
      <c r="N876" s="87" t="s">
        <v>1361</v>
      </c>
      <c r="O876" s="83" t="s">
        <v>827</v>
      </c>
    </row>
    <row r="877" spans="1:15" ht="18">
      <c r="A877" s="81">
        <f t="shared" si="13"/>
        <v>876</v>
      </c>
      <c r="B877" s="82" t="s">
        <v>1734</v>
      </c>
      <c r="C877" s="83" t="s">
        <v>34</v>
      </c>
      <c r="D877" s="83" t="s">
        <v>35</v>
      </c>
      <c r="E877" s="84">
        <v>50</v>
      </c>
      <c r="F877" s="85">
        <v>48.49</v>
      </c>
      <c r="G877" s="83" t="s">
        <v>885</v>
      </c>
      <c r="H877" s="83" t="s">
        <v>1360</v>
      </c>
      <c r="I877" s="85">
        <f>Planejamento2024[[#This Row],[Qnt de Itens]]*Planejamento2024[[#This Row],[Valor unitário]]</f>
        <v>2424.5</v>
      </c>
      <c r="J877" s="83" t="s">
        <v>20</v>
      </c>
      <c r="K877" s="83" t="s">
        <v>478</v>
      </c>
      <c r="L877" s="86">
        <v>45292</v>
      </c>
      <c r="M877" s="83" t="s">
        <v>20</v>
      </c>
      <c r="N877" s="87" t="s">
        <v>1361</v>
      </c>
      <c r="O877" s="83" t="s">
        <v>827</v>
      </c>
    </row>
    <row r="878" spans="1:15" ht="27">
      <c r="A878" s="81">
        <f t="shared" si="13"/>
        <v>877</v>
      </c>
      <c r="B878" s="82" t="s">
        <v>1735</v>
      </c>
      <c r="C878" s="83" t="s">
        <v>34</v>
      </c>
      <c r="D878" s="83" t="s">
        <v>35</v>
      </c>
      <c r="E878" s="84">
        <v>500</v>
      </c>
      <c r="F878" s="85">
        <v>86.87</v>
      </c>
      <c r="G878" s="83" t="s">
        <v>885</v>
      </c>
      <c r="H878" s="83" t="s">
        <v>1360</v>
      </c>
      <c r="I878" s="85">
        <f>Planejamento2024[[#This Row],[Qnt de Itens]]*Planejamento2024[[#This Row],[Valor unitário]]</f>
        <v>43435</v>
      </c>
      <c r="J878" s="83" t="s">
        <v>20</v>
      </c>
      <c r="K878" s="83" t="s">
        <v>478</v>
      </c>
      <c r="L878" s="86">
        <v>45292</v>
      </c>
      <c r="M878" s="83" t="s">
        <v>20</v>
      </c>
      <c r="N878" s="87" t="s">
        <v>1361</v>
      </c>
      <c r="O878" s="83" t="s">
        <v>827</v>
      </c>
    </row>
    <row r="879" spans="1:15" ht="27">
      <c r="A879" s="81">
        <f t="shared" si="13"/>
        <v>878</v>
      </c>
      <c r="B879" s="82" t="s">
        <v>1736</v>
      </c>
      <c r="C879" s="83" t="s">
        <v>34</v>
      </c>
      <c r="D879" s="83" t="s">
        <v>35</v>
      </c>
      <c r="E879" s="84">
        <v>500</v>
      </c>
      <c r="F879" s="85">
        <v>149.13999999999999</v>
      </c>
      <c r="G879" s="83" t="s">
        <v>885</v>
      </c>
      <c r="H879" s="83" t="s">
        <v>1360</v>
      </c>
      <c r="I879" s="85">
        <f>Planejamento2024[[#This Row],[Qnt de Itens]]*Planejamento2024[[#This Row],[Valor unitário]]</f>
        <v>74570</v>
      </c>
      <c r="J879" s="83" t="s">
        <v>20</v>
      </c>
      <c r="K879" s="83" t="s">
        <v>478</v>
      </c>
      <c r="L879" s="86">
        <v>45292</v>
      </c>
      <c r="M879" s="83" t="s">
        <v>20</v>
      </c>
      <c r="N879" s="87" t="s">
        <v>1361</v>
      </c>
      <c r="O879" s="83" t="s">
        <v>827</v>
      </c>
    </row>
    <row r="880" spans="1:15" ht="27">
      <c r="A880" s="81">
        <f t="shared" si="13"/>
        <v>879</v>
      </c>
      <c r="B880" s="82" t="s">
        <v>1737</v>
      </c>
      <c r="C880" s="83" t="s">
        <v>34</v>
      </c>
      <c r="D880" s="83" t="s">
        <v>35</v>
      </c>
      <c r="E880" s="84">
        <v>600</v>
      </c>
      <c r="F880" s="85">
        <v>19.71</v>
      </c>
      <c r="G880" s="83" t="s">
        <v>885</v>
      </c>
      <c r="H880" s="83" t="s">
        <v>1360</v>
      </c>
      <c r="I880" s="85">
        <f>Planejamento2024[[#This Row],[Qnt de Itens]]*Planejamento2024[[#This Row],[Valor unitário]]</f>
        <v>11826</v>
      </c>
      <c r="J880" s="83" t="s">
        <v>20</v>
      </c>
      <c r="K880" s="83" t="s">
        <v>478</v>
      </c>
      <c r="L880" s="86">
        <v>45292</v>
      </c>
      <c r="M880" s="83" t="s">
        <v>20</v>
      </c>
      <c r="N880" s="87" t="s">
        <v>1361</v>
      </c>
      <c r="O880" s="83" t="s">
        <v>827</v>
      </c>
    </row>
    <row r="881" spans="1:15" ht="27">
      <c r="A881" s="81">
        <f t="shared" si="13"/>
        <v>880</v>
      </c>
      <c r="B881" s="82" t="s">
        <v>1738</v>
      </c>
      <c r="C881" s="83" t="s">
        <v>34</v>
      </c>
      <c r="D881" s="83" t="s">
        <v>35</v>
      </c>
      <c r="E881" s="84">
        <v>300</v>
      </c>
      <c r="F881" s="85">
        <v>20.2</v>
      </c>
      <c r="G881" s="83" t="s">
        <v>885</v>
      </c>
      <c r="H881" s="83" t="s">
        <v>1360</v>
      </c>
      <c r="I881" s="85">
        <f>Planejamento2024[[#This Row],[Qnt de Itens]]*Planejamento2024[[#This Row],[Valor unitário]]</f>
        <v>6060</v>
      </c>
      <c r="J881" s="83" t="s">
        <v>20</v>
      </c>
      <c r="K881" s="83" t="s">
        <v>478</v>
      </c>
      <c r="L881" s="86">
        <v>45292</v>
      </c>
      <c r="M881" s="83" t="s">
        <v>20</v>
      </c>
      <c r="N881" s="87" t="s">
        <v>1361</v>
      </c>
      <c r="O881" s="83" t="s">
        <v>827</v>
      </c>
    </row>
    <row r="882" spans="1:15" ht="18">
      <c r="A882" s="81">
        <f t="shared" si="13"/>
        <v>881</v>
      </c>
      <c r="B882" s="82" t="s">
        <v>1739</v>
      </c>
      <c r="C882" s="83" t="s">
        <v>34</v>
      </c>
      <c r="D882" s="83" t="s">
        <v>35</v>
      </c>
      <c r="E882" s="84">
        <v>200</v>
      </c>
      <c r="F882" s="85">
        <v>7.53</v>
      </c>
      <c r="G882" s="83" t="s">
        <v>885</v>
      </c>
      <c r="H882" s="83" t="s">
        <v>1360</v>
      </c>
      <c r="I882" s="85">
        <f>Planejamento2024[[#This Row],[Qnt de Itens]]*Planejamento2024[[#This Row],[Valor unitário]]</f>
        <v>1506</v>
      </c>
      <c r="J882" s="83" t="s">
        <v>20</v>
      </c>
      <c r="K882" s="83" t="s">
        <v>478</v>
      </c>
      <c r="L882" s="86">
        <v>45292</v>
      </c>
      <c r="M882" s="83" t="s">
        <v>20</v>
      </c>
      <c r="N882" s="87" t="s">
        <v>1361</v>
      </c>
      <c r="O882" s="83" t="s">
        <v>827</v>
      </c>
    </row>
    <row r="883" spans="1:15" ht="18">
      <c r="A883" s="81">
        <f t="shared" si="13"/>
        <v>882</v>
      </c>
      <c r="B883" s="82" t="s">
        <v>1740</v>
      </c>
      <c r="C883" s="83" t="s">
        <v>34</v>
      </c>
      <c r="D883" s="83" t="s">
        <v>35</v>
      </c>
      <c r="E883" s="84">
        <v>200</v>
      </c>
      <c r="F883" s="85">
        <v>8.82</v>
      </c>
      <c r="G883" s="83" t="s">
        <v>885</v>
      </c>
      <c r="H883" s="83" t="s">
        <v>1360</v>
      </c>
      <c r="I883" s="85">
        <f>Planejamento2024[[#This Row],[Qnt de Itens]]*Planejamento2024[[#This Row],[Valor unitário]]</f>
        <v>1764</v>
      </c>
      <c r="J883" s="83" t="s">
        <v>20</v>
      </c>
      <c r="K883" s="83" t="s">
        <v>478</v>
      </c>
      <c r="L883" s="86">
        <v>45292</v>
      </c>
      <c r="M883" s="83" t="s">
        <v>20</v>
      </c>
      <c r="N883" s="87" t="s">
        <v>1361</v>
      </c>
      <c r="O883" s="83" t="s">
        <v>827</v>
      </c>
    </row>
    <row r="884" spans="1:15" ht="27">
      <c r="A884" s="81">
        <f t="shared" si="13"/>
        <v>883</v>
      </c>
      <c r="B884" s="82" t="s">
        <v>1741</v>
      </c>
      <c r="C884" s="83" t="s">
        <v>34</v>
      </c>
      <c r="D884" s="83" t="s">
        <v>35</v>
      </c>
      <c r="E884" s="84">
        <v>20</v>
      </c>
      <c r="F884" s="85">
        <v>76.33</v>
      </c>
      <c r="G884" s="83" t="s">
        <v>885</v>
      </c>
      <c r="H884" s="83" t="s">
        <v>1360</v>
      </c>
      <c r="I884" s="85">
        <f>Planejamento2024[[#This Row],[Qnt de Itens]]*Planejamento2024[[#This Row],[Valor unitário]]</f>
        <v>1526.6</v>
      </c>
      <c r="J884" s="83" t="s">
        <v>20</v>
      </c>
      <c r="K884" s="83" t="s">
        <v>478</v>
      </c>
      <c r="L884" s="86">
        <v>45292</v>
      </c>
      <c r="M884" s="83" t="s">
        <v>20</v>
      </c>
      <c r="N884" s="87" t="s">
        <v>1361</v>
      </c>
      <c r="O884" s="83" t="s">
        <v>827</v>
      </c>
    </row>
    <row r="885" spans="1:15" ht="18">
      <c r="A885" s="81">
        <f t="shared" si="13"/>
        <v>884</v>
      </c>
      <c r="B885" s="82" t="s">
        <v>1742</v>
      </c>
      <c r="C885" s="83" t="s">
        <v>34</v>
      </c>
      <c r="D885" s="83" t="s">
        <v>35</v>
      </c>
      <c r="E885" s="84">
        <v>100</v>
      </c>
      <c r="F885" s="85">
        <v>52.42</v>
      </c>
      <c r="G885" s="83" t="s">
        <v>885</v>
      </c>
      <c r="H885" s="83" t="s">
        <v>1360</v>
      </c>
      <c r="I885" s="85">
        <f>Planejamento2024[[#This Row],[Qnt de Itens]]*Planejamento2024[[#This Row],[Valor unitário]]</f>
        <v>5242</v>
      </c>
      <c r="J885" s="83" t="s">
        <v>20</v>
      </c>
      <c r="K885" s="83" t="s">
        <v>478</v>
      </c>
      <c r="L885" s="86">
        <v>45292</v>
      </c>
      <c r="M885" s="83" t="s">
        <v>20</v>
      </c>
      <c r="N885" s="87" t="s">
        <v>1361</v>
      </c>
      <c r="O885" s="83" t="s">
        <v>827</v>
      </c>
    </row>
    <row r="886" spans="1:15" ht="18">
      <c r="A886" s="81">
        <f t="shared" si="13"/>
        <v>885</v>
      </c>
      <c r="B886" s="82" t="s">
        <v>1743</v>
      </c>
      <c r="C886" s="83" t="s">
        <v>34</v>
      </c>
      <c r="D886" s="83" t="s">
        <v>35</v>
      </c>
      <c r="E886" s="84">
        <v>50</v>
      </c>
      <c r="F886" s="85">
        <v>57.37</v>
      </c>
      <c r="G886" s="83" t="s">
        <v>885</v>
      </c>
      <c r="H886" s="83" t="s">
        <v>1360</v>
      </c>
      <c r="I886" s="85">
        <f>Planejamento2024[[#This Row],[Qnt de Itens]]*Planejamento2024[[#This Row],[Valor unitário]]</f>
        <v>2868.5</v>
      </c>
      <c r="J886" s="83" t="s">
        <v>20</v>
      </c>
      <c r="K886" s="83" t="s">
        <v>478</v>
      </c>
      <c r="L886" s="86">
        <v>45292</v>
      </c>
      <c r="M886" s="83" t="s">
        <v>20</v>
      </c>
      <c r="N886" s="87" t="s">
        <v>1361</v>
      </c>
      <c r="O886" s="83" t="s">
        <v>827</v>
      </c>
    </row>
    <row r="887" spans="1:15" ht="18">
      <c r="A887" s="81">
        <f t="shared" si="13"/>
        <v>886</v>
      </c>
      <c r="B887" s="82" t="s">
        <v>1744</v>
      </c>
      <c r="C887" s="83" t="s">
        <v>34</v>
      </c>
      <c r="D887" s="83" t="s">
        <v>35</v>
      </c>
      <c r="E887" s="84">
        <v>50</v>
      </c>
      <c r="F887" s="85">
        <v>62.15</v>
      </c>
      <c r="G887" s="83" t="s">
        <v>885</v>
      </c>
      <c r="H887" s="83" t="s">
        <v>1360</v>
      </c>
      <c r="I887" s="85">
        <f>Planejamento2024[[#This Row],[Qnt de Itens]]*Planejamento2024[[#This Row],[Valor unitário]]</f>
        <v>3107.5</v>
      </c>
      <c r="J887" s="83" t="s">
        <v>20</v>
      </c>
      <c r="K887" s="83" t="s">
        <v>478</v>
      </c>
      <c r="L887" s="86">
        <v>45292</v>
      </c>
      <c r="M887" s="83" t="s">
        <v>20</v>
      </c>
      <c r="N887" s="87" t="s">
        <v>1361</v>
      </c>
      <c r="O887" s="83" t="s">
        <v>827</v>
      </c>
    </row>
    <row r="888" spans="1:15" ht="27">
      <c r="A888" s="81">
        <f t="shared" si="13"/>
        <v>887</v>
      </c>
      <c r="B888" s="82" t="s">
        <v>1745</v>
      </c>
      <c r="C888" s="83" t="s">
        <v>34</v>
      </c>
      <c r="D888" s="83" t="s">
        <v>35</v>
      </c>
      <c r="E888" s="84">
        <v>200</v>
      </c>
      <c r="F888" s="85">
        <v>2.1800000000000002</v>
      </c>
      <c r="G888" s="83" t="s">
        <v>885</v>
      </c>
      <c r="H888" s="83" t="s">
        <v>1360</v>
      </c>
      <c r="I888" s="85">
        <f>Planejamento2024[[#This Row],[Qnt de Itens]]*Planejamento2024[[#This Row],[Valor unitário]]</f>
        <v>436.00000000000006</v>
      </c>
      <c r="J888" s="83" t="s">
        <v>20</v>
      </c>
      <c r="K888" s="83" t="s">
        <v>478</v>
      </c>
      <c r="L888" s="86">
        <v>45292</v>
      </c>
      <c r="M888" s="83" t="s">
        <v>20</v>
      </c>
      <c r="N888" s="87" t="s">
        <v>1361</v>
      </c>
      <c r="O888" s="83" t="s">
        <v>827</v>
      </c>
    </row>
    <row r="889" spans="1:15" ht="27">
      <c r="A889" s="81">
        <f t="shared" si="13"/>
        <v>888</v>
      </c>
      <c r="B889" s="82" t="s">
        <v>1746</v>
      </c>
      <c r="C889" s="83" t="s">
        <v>34</v>
      </c>
      <c r="D889" s="83" t="s">
        <v>35</v>
      </c>
      <c r="E889" s="84">
        <v>200</v>
      </c>
      <c r="F889" s="85">
        <v>3.14</v>
      </c>
      <c r="G889" s="83" t="s">
        <v>885</v>
      </c>
      <c r="H889" s="83" t="s">
        <v>1360</v>
      </c>
      <c r="I889" s="85">
        <f>Planejamento2024[[#This Row],[Qnt de Itens]]*Planejamento2024[[#This Row],[Valor unitário]]</f>
        <v>628</v>
      </c>
      <c r="J889" s="83" t="s">
        <v>20</v>
      </c>
      <c r="K889" s="83" t="s">
        <v>478</v>
      </c>
      <c r="L889" s="86">
        <v>45292</v>
      </c>
      <c r="M889" s="83" t="s">
        <v>20</v>
      </c>
      <c r="N889" s="87" t="s">
        <v>1361</v>
      </c>
      <c r="O889" s="83" t="s">
        <v>827</v>
      </c>
    </row>
    <row r="890" spans="1:15" ht="27">
      <c r="A890" s="81">
        <f t="shared" si="13"/>
        <v>889</v>
      </c>
      <c r="B890" s="82" t="s">
        <v>1747</v>
      </c>
      <c r="C890" s="83" t="s">
        <v>34</v>
      </c>
      <c r="D890" s="83" t="s">
        <v>35</v>
      </c>
      <c r="E890" s="84">
        <v>300</v>
      </c>
      <c r="F890" s="85">
        <v>2.67</v>
      </c>
      <c r="G890" s="83" t="s">
        <v>885</v>
      </c>
      <c r="H890" s="83" t="s">
        <v>1360</v>
      </c>
      <c r="I890" s="85">
        <f>Planejamento2024[[#This Row],[Qnt de Itens]]*Planejamento2024[[#This Row],[Valor unitário]]</f>
        <v>801</v>
      </c>
      <c r="J890" s="83" t="s">
        <v>20</v>
      </c>
      <c r="K890" s="83" t="s">
        <v>478</v>
      </c>
      <c r="L890" s="86">
        <v>45292</v>
      </c>
      <c r="M890" s="83" t="s">
        <v>20</v>
      </c>
      <c r="N890" s="87" t="s">
        <v>1361</v>
      </c>
      <c r="O890" s="83" t="s">
        <v>827</v>
      </c>
    </row>
    <row r="891" spans="1:15" ht="72">
      <c r="A891" s="81">
        <f t="shared" si="13"/>
        <v>890</v>
      </c>
      <c r="B891" s="82" t="s">
        <v>1748</v>
      </c>
      <c r="C891" s="83" t="s">
        <v>34</v>
      </c>
      <c r="D891" s="83" t="s">
        <v>35</v>
      </c>
      <c r="E891" s="84">
        <v>400</v>
      </c>
      <c r="F891" s="85">
        <v>10.5</v>
      </c>
      <c r="G891" s="83" t="s">
        <v>885</v>
      </c>
      <c r="H891" s="83" t="s">
        <v>1360</v>
      </c>
      <c r="I891" s="85">
        <f>Planejamento2024[[#This Row],[Qnt de Itens]]*Planejamento2024[[#This Row],[Valor unitário]]</f>
        <v>4200</v>
      </c>
      <c r="J891" s="83" t="s">
        <v>20</v>
      </c>
      <c r="K891" s="83" t="s">
        <v>478</v>
      </c>
      <c r="L891" s="86">
        <v>45292</v>
      </c>
      <c r="M891" s="83" t="s">
        <v>20</v>
      </c>
      <c r="N891" s="87" t="s">
        <v>1361</v>
      </c>
      <c r="O891" s="83" t="s">
        <v>827</v>
      </c>
    </row>
    <row r="892" spans="1:15" ht="108">
      <c r="A892" s="81">
        <f t="shared" si="13"/>
        <v>891</v>
      </c>
      <c r="B892" s="82" t="s">
        <v>1749</v>
      </c>
      <c r="C892" s="83" t="s">
        <v>34</v>
      </c>
      <c r="D892" s="83" t="s">
        <v>35</v>
      </c>
      <c r="E892" s="84">
        <v>400</v>
      </c>
      <c r="F892" s="85">
        <v>2.4300000000000002</v>
      </c>
      <c r="G892" s="83" t="s">
        <v>885</v>
      </c>
      <c r="H892" s="83" t="s">
        <v>1360</v>
      </c>
      <c r="I892" s="85">
        <f>Planejamento2024[[#This Row],[Qnt de Itens]]*Planejamento2024[[#This Row],[Valor unitário]]</f>
        <v>972.00000000000011</v>
      </c>
      <c r="J892" s="83" t="s">
        <v>20</v>
      </c>
      <c r="K892" s="83" t="s">
        <v>478</v>
      </c>
      <c r="L892" s="86">
        <v>45292</v>
      </c>
      <c r="M892" s="83" t="s">
        <v>20</v>
      </c>
      <c r="N892" s="87" t="s">
        <v>1361</v>
      </c>
      <c r="O892" s="83" t="s">
        <v>827</v>
      </c>
    </row>
    <row r="893" spans="1:15" ht="108">
      <c r="A893" s="81">
        <f t="shared" si="13"/>
        <v>892</v>
      </c>
      <c r="B893" s="82" t="s">
        <v>1750</v>
      </c>
      <c r="C893" s="83" t="s">
        <v>34</v>
      </c>
      <c r="D893" s="83" t="s">
        <v>35</v>
      </c>
      <c r="E893" s="84">
        <v>400</v>
      </c>
      <c r="F893" s="85">
        <v>2.2999999999999998</v>
      </c>
      <c r="G893" s="83" t="s">
        <v>885</v>
      </c>
      <c r="H893" s="83" t="s">
        <v>1360</v>
      </c>
      <c r="I893" s="85">
        <f>Planejamento2024[[#This Row],[Qnt de Itens]]*Planejamento2024[[#This Row],[Valor unitário]]</f>
        <v>919.99999999999989</v>
      </c>
      <c r="J893" s="83" t="s">
        <v>20</v>
      </c>
      <c r="K893" s="83" t="s">
        <v>478</v>
      </c>
      <c r="L893" s="86">
        <v>45292</v>
      </c>
      <c r="M893" s="83" t="s">
        <v>20</v>
      </c>
      <c r="N893" s="87" t="s">
        <v>1361</v>
      </c>
      <c r="O893" s="83" t="s">
        <v>827</v>
      </c>
    </row>
    <row r="894" spans="1:15" ht="108">
      <c r="A894" s="81">
        <f t="shared" si="13"/>
        <v>893</v>
      </c>
      <c r="B894" s="82" t="s">
        <v>1751</v>
      </c>
      <c r="C894" s="83" t="s">
        <v>34</v>
      </c>
      <c r="D894" s="83" t="s">
        <v>35</v>
      </c>
      <c r="E894" s="84">
        <v>400</v>
      </c>
      <c r="F894" s="85">
        <v>2.4500000000000002</v>
      </c>
      <c r="G894" s="83" t="s">
        <v>885</v>
      </c>
      <c r="H894" s="83" t="s">
        <v>1360</v>
      </c>
      <c r="I894" s="85">
        <f>Planejamento2024[[#This Row],[Qnt de Itens]]*Planejamento2024[[#This Row],[Valor unitário]]</f>
        <v>980.00000000000011</v>
      </c>
      <c r="J894" s="83" t="s">
        <v>20</v>
      </c>
      <c r="K894" s="83" t="s">
        <v>478</v>
      </c>
      <c r="L894" s="86">
        <v>45292</v>
      </c>
      <c r="M894" s="83" t="s">
        <v>20</v>
      </c>
      <c r="N894" s="87" t="s">
        <v>1361</v>
      </c>
      <c r="O894" s="83" t="s">
        <v>827</v>
      </c>
    </row>
    <row r="895" spans="1:15" ht="27">
      <c r="A895" s="81">
        <f t="shared" si="13"/>
        <v>894</v>
      </c>
      <c r="B895" s="82" t="s">
        <v>1752</v>
      </c>
      <c r="C895" s="83" t="s">
        <v>34</v>
      </c>
      <c r="D895" s="83" t="s">
        <v>35</v>
      </c>
      <c r="E895" s="84">
        <v>300</v>
      </c>
      <c r="F895" s="85">
        <v>4.92</v>
      </c>
      <c r="G895" s="83" t="s">
        <v>885</v>
      </c>
      <c r="H895" s="83" t="s">
        <v>1360</v>
      </c>
      <c r="I895" s="85">
        <f>Planejamento2024[[#This Row],[Qnt de Itens]]*Planejamento2024[[#This Row],[Valor unitário]]</f>
        <v>1476</v>
      </c>
      <c r="J895" s="83" t="s">
        <v>20</v>
      </c>
      <c r="K895" s="83" t="s">
        <v>478</v>
      </c>
      <c r="L895" s="86">
        <v>45292</v>
      </c>
      <c r="M895" s="83" t="s">
        <v>20</v>
      </c>
      <c r="N895" s="87" t="s">
        <v>1361</v>
      </c>
      <c r="O895" s="83" t="s">
        <v>827</v>
      </c>
    </row>
    <row r="896" spans="1:15" ht="27">
      <c r="A896" s="81">
        <f t="shared" si="13"/>
        <v>895</v>
      </c>
      <c r="B896" s="82" t="s">
        <v>1753</v>
      </c>
      <c r="C896" s="83" t="s">
        <v>34</v>
      </c>
      <c r="D896" s="83" t="s">
        <v>35</v>
      </c>
      <c r="E896" s="84">
        <v>300</v>
      </c>
      <c r="F896" s="85">
        <v>3.04</v>
      </c>
      <c r="G896" s="83" t="s">
        <v>885</v>
      </c>
      <c r="H896" s="83" t="s">
        <v>1360</v>
      </c>
      <c r="I896" s="85">
        <f>Planejamento2024[[#This Row],[Qnt de Itens]]*Planejamento2024[[#This Row],[Valor unitário]]</f>
        <v>912</v>
      </c>
      <c r="J896" s="83" t="s">
        <v>20</v>
      </c>
      <c r="K896" s="83" t="s">
        <v>478</v>
      </c>
      <c r="L896" s="86">
        <v>45292</v>
      </c>
      <c r="M896" s="83" t="s">
        <v>20</v>
      </c>
      <c r="N896" s="87" t="s">
        <v>1361</v>
      </c>
      <c r="O896" s="83" t="s">
        <v>827</v>
      </c>
    </row>
    <row r="897" spans="1:15" ht="27">
      <c r="A897" s="81">
        <f t="shared" si="13"/>
        <v>896</v>
      </c>
      <c r="B897" s="82" t="s">
        <v>1754</v>
      </c>
      <c r="C897" s="83" t="s">
        <v>34</v>
      </c>
      <c r="D897" s="83" t="s">
        <v>35</v>
      </c>
      <c r="E897" s="84">
        <v>300</v>
      </c>
      <c r="F897" s="85">
        <v>3.9</v>
      </c>
      <c r="G897" s="83" t="s">
        <v>885</v>
      </c>
      <c r="H897" s="83" t="s">
        <v>1360</v>
      </c>
      <c r="I897" s="85">
        <f>Planejamento2024[[#This Row],[Qnt de Itens]]*Planejamento2024[[#This Row],[Valor unitário]]</f>
        <v>1170</v>
      </c>
      <c r="J897" s="83" t="s">
        <v>20</v>
      </c>
      <c r="K897" s="83" t="s">
        <v>478</v>
      </c>
      <c r="L897" s="86">
        <v>45292</v>
      </c>
      <c r="M897" s="83" t="s">
        <v>20</v>
      </c>
      <c r="N897" s="87" t="s">
        <v>1361</v>
      </c>
      <c r="O897" s="83" t="s">
        <v>827</v>
      </c>
    </row>
    <row r="898" spans="1:15" ht="108">
      <c r="A898" s="81">
        <f t="shared" ref="A898:A961" si="14">ROW(A897)</f>
        <v>897</v>
      </c>
      <c r="B898" s="82" t="s">
        <v>1755</v>
      </c>
      <c r="C898" s="83" t="s">
        <v>34</v>
      </c>
      <c r="D898" s="83" t="s">
        <v>35</v>
      </c>
      <c r="E898" s="84">
        <v>300</v>
      </c>
      <c r="F898" s="85">
        <v>4.49</v>
      </c>
      <c r="G898" s="83" t="s">
        <v>885</v>
      </c>
      <c r="H898" s="83" t="s">
        <v>1360</v>
      </c>
      <c r="I898" s="85">
        <f>Planejamento2024[[#This Row],[Qnt de Itens]]*Planejamento2024[[#This Row],[Valor unitário]]</f>
        <v>1347</v>
      </c>
      <c r="J898" s="83" t="s">
        <v>20</v>
      </c>
      <c r="K898" s="83" t="s">
        <v>478</v>
      </c>
      <c r="L898" s="86">
        <v>45292</v>
      </c>
      <c r="M898" s="83" t="s">
        <v>20</v>
      </c>
      <c r="N898" s="87" t="s">
        <v>1361</v>
      </c>
      <c r="O898" s="83" t="s">
        <v>827</v>
      </c>
    </row>
    <row r="899" spans="1:15" ht="126">
      <c r="A899" s="81">
        <f t="shared" si="14"/>
        <v>898</v>
      </c>
      <c r="B899" s="82" t="s">
        <v>1756</v>
      </c>
      <c r="C899" s="83" t="s">
        <v>34</v>
      </c>
      <c r="D899" s="83" t="s">
        <v>35</v>
      </c>
      <c r="E899" s="84">
        <v>300</v>
      </c>
      <c r="F899" s="85">
        <v>12.38</v>
      </c>
      <c r="G899" s="83" t="s">
        <v>885</v>
      </c>
      <c r="H899" s="83" t="s">
        <v>1360</v>
      </c>
      <c r="I899" s="85">
        <f>Planejamento2024[[#This Row],[Qnt de Itens]]*Planejamento2024[[#This Row],[Valor unitário]]</f>
        <v>3714.0000000000005</v>
      </c>
      <c r="J899" s="83" t="s">
        <v>20</v>
      </c>
      <c r="K899" s="83" t="s">
        <v>478</v>
      </c>
      <c r="L899" s="86">
        <v>45292</v>
      </c>
      <c r="M899" s="83" t="s">
        <v>20</v>
      </c>
      <c r="N899" s="87" t="s">
        <v>1361</v>
      </c>
      <c r="O899" s="83" t="s">
        <v>827</v>
      </c>
    </row>
    <row r="900" spans="1:15" ht="27">
      <c r="A900" s="81">
        <f t="shared" si="14"/>
        <v>899</v>
      </c>
      <c r="B900" s="82" t="s">
        <v>1757</v>
      </c>
      <c r="C900" s="83" t="s">
        <v>34</v>
      </c>
      <c r="D900" s="83" t="s">
        <v>35</v>
      </c>
      <c r="E900" s="84">
        <v>500</v>
      </c>
      <c r="F900" s="85">
        <v>2.5099999999999998</v>
      </c>
      <c r="G900" s="83" t="s">
        <v>885</v>
      </c>
      <c r="H900" s="83" t="s">
        <v>1360</v>
      </c>
      <c r="I900" s="85">
        <f>Planejamento2024[[#This Row],[Qnt de Itens]]*Planejamento2024[[#This Row],[Valor unitário]]</f>
        <v>1255</v>
      </c>
      <c r="J900" s="83" t="s">
        <v>20</v>
      </c>
      <c r="K900" s="83" t="s">
        <v>478</v>
      </c>
      <c r="L900" s="86">
        <v>45292</v>
      </c>
      <c r="M900" s="83" t="s">
        <v>20</v>
      </c>
      <c r="N900" s="87" t="s">
        <v>1361</v>
      </c>
      <c r="O900" s="83" t="s">
        <v>827</v>
      </c>
    </row>
    <row r="901" spans="1:15" ht="108">
      <c r="A901" s="81">
        <f t="shared" si="14"/>
        <v>900</v>
      </c>
      <c r="B901" s="82" t="s">
        <v>1758</v>
      </c>
      <c r="C901" s="83" t="s">
        <v>34</v>
      </c>
      <c r="D901" s="83" t="s">
        <v>35</v>
      </c>
      <c r="E901" s="84">
        <v>300</v>
      </c>
      <c r="F901" s="85">
        <v>2.65</v>
      </c>
      <c r="G901" s="83" t="s">
        <v>885</v>
      </c>
      <c r="H901" s="83" t="s">
        <v>1360</v>
      </c>
      <c r="I901" s="85">
        <f>Planejamento2024[[#This Row],[Qnt de Itens]]*Planejamento2024[[#This Row],[Valor unitário]]</f>
        <v>795</v>
      </c>
      <c r="J901" s="83" t="s">
        <v>20</v>
      </c>
      <c r="K901" s="83" t="s">
        <v>478</v>
      </c>
      <c r="L901" s="86">
        <v>45292</v>
      </c>
      <c r="M901" s="83" t="s">
        <v>20</v>
      </c>
      <c r="N901" s="87" t="s">
        <v>1361</v>
      </c>
      <c r="O901" s="83" t="s">
        <v>827</v>
      </c>
    </row>
    <row r="902" spans="1:15" ht="18">
      <c r="A902" s="81">
        <f t="shared" si="14"/>
        <v>901</v>
      </c>
      <c r="B902" s="82" t="s">
        <v>1759</v>
      </c>
      <c r="C902" s="83" t="s">
        <v>34</v>
      </c>
      <c r="D902" s="83" t="s">
        <v>35</v>
      </c>
      <c r="E902" s="84">
        <v>100</v>
      </c>
      <c r="F902" s="85">
        <v>4.96</v>
      </c>
      <c r="G902" s="83" t="s">
        <v>885</v>
      </c>
      <c r="H902" s="83" t="s">
        <v>1360</v>
      </c>
      <c r="I902" s="85">
        <f>Planejamento2024[[#This Row],[Qnt de Itens]]*Planejamento2024[[#This Row],[Valor unitário]]</f>
        <v>496</v>
      </c>
      <c r="J902" s="83" t="s">
        <v>20</v>
      </c>
      <c r="K902" s="83" t="s">
        <v>478</v>
      </c>
      <c r="L902" s="86">
        <v>45292</v>
      </c>
      <c r="M902" s="83" t="s">
        <v>20</v>
      </c>
      <c r="N902" s="87" t="s">
        <v>1361</v>
      </c>
      <c r="O902" s="83" t="s">
        <v>827</v>
      </c>
    </row>
    <row r="903" spans="1:15" ht="18">
      <c r="A903" s="81">
        <f t="shared" si="14"/>
        <v>902</v>
      </c>
      <c r="B903" s="82" t="s">
        <v>1760</v>
      </c>
      <c r="C903" s="83" t="s">
        <v>34</v>
      </c>
      <c r="D903" s="83" t="s">
        <v>35</v>
      </c>
      <c r="E903" s="84">
        <v>100</v>
      </c>
      <c r="F903" s="85">
        <v>2.57</v>
      </c>
      <c r="G903" s="83" t="s">
        <v>885</v>
      </c>
      <c r="H903" s="83" t="s">
        <v>1360</v>
      </c>
      <c r="I903" s="85">
        <f>Planejamento2024[[#This Row],[Qnt de Itens]]*Planejamento2024[[#This Row],[Valor unitário]]</f>
        <v>257</v>
      </c>
      <c r="J903" s="83" t="s">
        <v>20</v>
      </c>
      <c r="K903" s="83" t="s">
        <v>478</v>
      </c>
      <c r="L903" s="86">
        <v>45292</v>
      </c>
      <c r="M903" s="83" t="s">
        <v>20</v>
      </c>
      <c r="N903" s="87" t="s">
        <v>1361</v>
      </c>
      <c r="O903" s="83" t="s">
        <v>827</v>
      </c>
    </row>
    <row r="904" spans="1:15" ht="27">
      <c r="A904" s="81">
        <f t="shared" si="14"/>
        <v>903</v>
      </c>
      <c r="B904" s="82" t="s">
        <v>1761</v>
      </c>
      <c r="C904" s="83" t="s">
        <v>34</v>
      </c>
      <c r="D904" s="83" t="s">
        <v>35</v>
      </c>
      <c r="E904" s="84">
        <v>100</v>
      </c>
      <c r="F904" s="85">
        <v>2.86</v>
      </c>
      <c r="G904" s="83" t="s">
        <v>885</v>
      </c>
      <c r="H904" s="83" t="s">
        <v>1360</v>
      </c>
      <c r="I904" s="85">
        <f>Planejamento2024[[#This Row],[Qnt de Itens]]*Planejamento2024[[#This Row],[Valor unitário]]</f>
        <v>286</v>
      </c>
      <c r="J904" s="83" t="s">
        <v>20</v>
      </c>
      <c r="K904" s="83" t="s">
        <v>478</v>
      </c>
      <c r="L904" s="86">
        <v>45292</v>
      </c>
      <c r="M904" s="83" t="s">
        <v>20</v>
      </c>
      <c r="N904" s="87" t="s">
        <v>1361</v>
      </c>
      <c r="O904" s="83" t="s">
        <v>827</v>
      </c>
    </row>
    <row r="905" spans="1:15" ht="18">
      <c r="A905" s="81">
        <f t="shared" si="14"/>
        <v>904</v>
      </c>
      <c r="B905" s="82" t="s">
        <v>1762</v>
      </c>
      <c r="C905" s="83" t="s">
        <v>34</v>
      </c>
      <c r="D905" s="83" t="s">
        <v>35</v>
      </c>
      <c r="E905" s="84">
        <v>100</v>
      </c>
      <c r="F905" s="85">
        <v>2.44</v>
      </c>
      <c r="G905" s="83" t="s">
        <v>885</v>
      </c>
      <c r="H905" s="83" t="s">
        <v>1360</v>
      </c>
      <c r="I905" s="85">
        <f>Planejamento2024[[#This Row],[Qnt de Itens]]*Planejamento2024[[#This Row],[Valor unitário]]</f>
        <v>244</v>
      </c>
      <c r="J905" s="83" t="s">
        <v>20</v>
      </c>
      <c r="K905" s="83" t="s">
        <v>478</v>
      </c>
      <c r="L905" s="86">
        <v>45292</v>
      </c>
      <c r="M905" s="83" t="s">
        <v>20</v>
      </c>
      <c r="N905" s="87" t="s">
        <v>1361</v>
      </c>
      <c r="O905" s="83" t="s">
        <v>827</v>
      </c>
    </row>
    <row r="906" spans="1:15" ht="18">
      <c r="A906" s="81">
        <f t="shared" si="14"/>
        <v>905</v>
      </c>
      <c r="B906" s="82" t="s">
        <v>1763</v>
      </c>
      <c r="C906" s="83" t="s">
        <v>34</v>
      </c>
      <c r="D906" s="83" t="s">
        <v>35</v>
      </c>
      <c r="E906" s="84">
        <v>100</v>
      </c>
      <c r="F906" s="85">
        <v>3.59</v>
      </c>
      <c r="G906" s="83" t="s">
        <v>885</v>
      </c>
      <c r="H906" s="83" t="s">
        <v>1360</v>
      </c>
      <c r="I906" s="85">
        <f>Planejamento2024[[#This Row],[Qnt de Itens]]*Planejamento2024[[#This Row],[Valor unitário]]</f>
        <v>359</v>
      </c>
      <c r="J906" s="83" t="s">
        <v>20</v>
      </c>
      <c r="K906" s="83" t="s">
        <v>478</v>
      </c>
      <c r="L906" s="86">
        <v>45292</v>
      </c>
      <c r="M906" s="83" t="s">
        <v>20</v>
      </c>
      <c r="N906" s="87" t="s">
        <v>1361</v>
      </c>
      <c r="O906" s="83" t="s">
        <v>827</v>
      </c>
    </row>
    <row r="907" spans="1:15" ht="18">
      <c r="A907" s="81">
        <f t="shared" si="14"/>
        <v>906</v>
      </c>
      <c r="B907" s="82" t="s">
        <v>1764</v>
      </c>
      <c r="C907" s="83" t="s">
        <v>34</v>
      </c>
      <c r="D907" s="83" t="s">
        <v>35</v>
      </c>
      <c r="E907" s="84">
        <v>100</v>
      </c>
      <c r="F907" s="85">
        <v>3.31</v>
      </c>
      <c r="G907" s="83" t="s">
        <v>885</v>
      </c>
      <c r="H907" s="83" t="s">
        <v>1360</v>
      </c>
      <c r="I907" s="85">
        <f>Planejamento2024[[#This Row],[Qnt de Itens]]*Planejamento2024[[#This Row],[Valor unitário]]</f>
        <v>331</v>
      </c>
      <c r="J907" s="83" t="s">
        <v>20</v>
      </c>
      <c r="K907" s="83" t="s">
        <v>478</v>
      </c>
      <c r="L907" s="86">
        <v>45292</v>
      </c>
      <c r="M907" s="83" t="s">
        <v>20</v>
      </c>
      <c r="N907" s="87" t="s">
        <v>1361</v>
      </c>
      <c r="O907" s="83" t="s">
        <v>827</v>
      </c>
    </row>
    <row r="908" spans="1:15" ht="27">
      <c r="A908" s="81">
        <f t="shared" si="14"/>
        <v>907</v>
      </c>
      <c r="B908" s="82" t="s">
        <v>1765</v>
      </c>
      <c r="C908" s="83" t="s">
        <v>34</v>
      </c>
      <c r="D908" s="83" t="s">
        <v>35</v>
      </c>
      <c r="E908" s="84">
        <v>100</v>
      </c>
      <c r="F908" s="85">
        <v>2.6</v>
      </c>
      <c r="G908" s="83" t="s">
        <v>885</v>
      </c>
      <c r="H908" s="83" t="s">
        <v>1360</v>
      </c>
      <c r="I908" s="85">
        <f>Planejamento2024[[#This Row],[Qnt de Itens]]*Planejamento2024[[#This Row],[Valor unitário]]</f>
        <v>260</v>
      </c>
      <c r="J908" s="83" t="s">
        <v>20</v>
      </c>
      <c r="K908" s="83" t="s">
        <v>478</v>
      </c>
      <c r="L908" s="86">
        <v>45292</v>
      </c>
      <c r="M908" s="83" t="s">
        <v>20</v>
      </c>
      <c r="N908" s="87" t="s">
        <v>1361</v>
      </c>
      <c r="O908" s="83" t="s">
        <v>827</v>
      </c>
    </row>
    <row r="909" spans="1:15" ht="36">
      <c r="A909" s="81">
        <f t="shared" si="14"/>
        <v>908</v>
      </c>
      <c r="B909" s="82" t="s">
        <v>1766</v>
      </c>
      <c r="C909" s="83" t="s">
        <v>34</v>
      </c>
      <c r="D909" s="83" t="s">
        <v>35</v>
      </c>
      <c r="E909" s="84">
        <v>300</v>
      </c>
      <c r="F909" s="85">
        <v>9.14</v>
      </c>
      <c r="G909" s="83" t="s">
        <v>885</v>
      </c>
      <c r="H909" s="83" t="s">
        <v>1360</v>
      </c>
      <c r="I909" s="85">
        <f>Planejamento2024[[#This Row],[Qnt de Itens]]*Planejamento2024[[#This Row],[Valor unitário]]</f>
        <v>2742</v>
      </c>
      <c r="J909" s="83" t="s">
        <v>20</v>
      </c>
      <c r="K909" s="83" t="s">
        <v>478</v>
      </c>
      <c r="L909" s="86">
        <v>45292</v>
      </c>
      <c r="M909" s="83" t="s">
        <v>20</v>
      </c>
      <c r="N909" s="87" t="s">
        <v>1361</v>
      </c>
      <c r="O909" s="83" t="s">
        <v>827</v>
      </c>
    </row>
    <row r="910" spans="1:15" ht="27">
      <c r="A910" s="81">
        <f t="shared" si="14"/>
        <v>909</v>
      </c>
      <c r="B910" s="82" t="s">
        <v>1767</v>
      </c>
      <c r="C910" s="83" t="s">
        <v>34</v>
      </c>
      <c r="D910" s="83" t="s">
        <v>35</v>
      </c>
      <c r="E910" s="84">
        <v>500</v>
      </c>
      <c r="F910" s="85">
        <v>10.49</v>
      </c>
      <c r="G910" s="83" t="s">
        <v>885</v>
      </c>
      <c r="H910" s="83" t="s">
        <v>1360</v>
      </c>
      <c r="I910" s="85">
        <f>Planejamento2024[[#This Row],[Qnt de Itens]]*Planejamento2024[[#This Row],[Valor unitário]]</f>
        <v>5245</v>
      </c>
      <c r="J910" s="83" t="s">
        <v>20</v>
      </c>
      <c r="K910" s="83" t="s">
        <v>478</v>
      </c>
      <c r="L910" s="86">
        <v>45292</v>
      </c>
      <c r="M910" s="83" t="s">
        <v>20</v>
      </c>
      <c r="N910" s="87" t="s">
        <v>1361</v>
      </c>
      <c r="O910" s="83" t="s">
        <v>827</v>
      </c>
    </row>
    <row r="911" spans="1:15" ht="27">
      <c r="A911" s="81">
        <f t="shared" si="14"/>
        <v>910</v>
      </c>
      <c r="B911" s="82" t="s">
        <v>1768</v>
      </c>
      <c r="C911" s="83" t="s">
        <v>34</v>
      </c>
      <c r="D911" s="83" t="s">
        <v>35</v>
      </c>
      <c r="E911" s="84">
        <v>300</v>
      </c>
      <c r="F911" s="85">
        <v>11.54</v>
      </c>
      <c r="G911" s="83" t="s">
        <v>885</v>
      </c>
      <c r="H911" s="83" t="s">
        <v>1360</v>
      </c>
      <c r="I911" s="85">
        <f>Planejamento2024[[#This Row],[Qnt de Itens]]*Planejamento2024[[#This Row],[Valor unitário]]</f>
        <v>3461.9999999999995</v>
      </c>
      <c r="J911" s="83" t="s">
        <v>20</v>
      </c>
      <c r="K911" s="83" t="s">
        <v>478</v>
      </c>
      <c r="L911" s="86">
        <v>45292</v>
      </c>
      <c r="M911" s="83" t="s">
        <v>20</v>
      </c>
      <c r="N911" s="87" t="s">
        <v>1361</v>
      </c>
      <c r="O911" s="83" t="s">
        <v>827</v>
      </c>
    </row>
    <row r="912" spans="1:15" ht="18">
      <c r="A912" s="81">
        <f t="shared" si="14"/>
        <v>911</v>
      </c>
      <c r="B912" s="82" t="s">
        <v>1769</v>
      </c>
      <c r="C912" s="83" t="s">
        <v>34</v>
      </c>
      <c r="D912" s="83" t="s">
        <v>35</v>
      </c>
      <c r="E912" s="84">
        <v>200</v>
      </c>
      <c r="F912" s="85">
        <v>44</v>
      </c>
      <c r="G912" s="83" t="s">
        <v>885</v>
      </c>
      <c r="H912" s="83" t="s">
        <v>1360</v>
      </c>
      <c r="I912" s="85">
        <f>Planejamento2024[[#This Row],[Qnt de Itens]]*Planejamento2024[[#This Row],[Valor unitário]]</f>
        <v>8800</v>
      </c>
      <c r="J912" s="83" t="s">
        <v>20</v>
      </c>
      <c r="K912" s="83" t="s">
        <v>478</v>
      </c>
      <c r="L912" s="86">
        <v>45292</v>
      </c>
      <c r="M912" s="83" t="s">
        <v>20</v>
      </c>
      <c r="N912" s="87" t="s">
        <v>1361</v>
      </c>
      <c r="O912" s="83" t="s">
        <v>827</v>
      </c>
    </row>
    <row r="913" spans="1:15" ht="18">
      <c r="A913" s="81">
        <f t="shared" si="14"/>
        <v>912</v>
      </c>
      <c r="B913" s="82" t="s">
        <v>1770</v>
      </c>
      <c r="C913" s="83" t="s">
        <v>34</v>
      </c>
      <c r="D913" s="83" t="s">
        <v>35</v>
      </c>
      <c r="E913" s="84">
        <v>200</v>
      </c>
      <c r="F913" s="85">
        <v>12.63</v>
      </c>
      <c r="G913" s="83" t="s">
        <v>885</v>
      </c>
      <c r="H913" s="83" t="s">
        <v>1360</v>
      </c>
      <c r="I913" s="85">
        <f>Planejamento2024[[#This Row],[Qnt de Itens]]*Planejamento2024[[#This Row],[Valor unitário]]</f>
        <v>2526</v>
      </c>
      <c r="J913" s="83" t="s">
        <v>20</v>
      </c>
      <c r="K913" s="83" t="s">
        <v>478</v>
      </c>
      <c r="L913" s="86">
        <v>45292</v>
      </c>
      <c r="M913" s="83" t="s">
        <v>20</v>
      </c>
      <c r="N913" s="87" t="s">
        <v>1361</v>
      </c>
      <c r="O913" s="83" t="s">
        <v>827</v>
      </c>
    </row>
    <row r="914" spans="1:15" ht="18">
      <c r="A914" s="81">
        <f t="shared" si="14"/>
        <v>913</v>
      </c>
      <c r="B914" s="82" t="s">
        <v>1771</v>
      </c>
      <c r="C914" s="83" t="s">
        <v>34</v>
      </c>
      <c r="D914" s="83" t="s">
        <v>35</v>
      </c>
      <c r="E914" s="84">
        <v>200</v>
      </c>
      <c r="F914" s="85">
        <v>7.65</v>
      </c>
      <c r="G914" s="83" t="s">
        <v>885</v>
      </c>
      <c r="H914" s="83" t="s">
        <v>1360</v>
      </c>
      <c r="I914" s="85">
        <f>Planejamento2024[[#This Row],[Qnt de Itens]]*Planejamento2024[[#This Row],[Valor unitário]]</f>
        <v>1530</v>
      </c>
      <c r="J914" s="83" t="s">
        <v>20</v>
      </c>
      <c r="K914" s="83" t="s">
        <v>478</v>
      </c>
      <c r="L914" s="86">
        <v>45292</v>
      </c>
      <c r="M914" s="83" t="s">
        <v>20</v>
      </c>
      <c r="N914" s="87" t="s">
        <v>1361</v>
      </c>
      <c r="O914" s="83" t="s">
        <v>827</v>
      </c>
    </row>
    <row r="915" spans="1:15" ht="18">
      <c r="A915" s="81">
        <f t="shared" si="14"/>
        <v>914</v>
      </c>
      <c r="B915" s="82" t="s">
        <v>1772</v>
      </c>
      <c r="C915" s="83" t="s">
        <v>34</v>
      </c>
      <c r="D915" s="83" t="s">
        <v>35</v>
      </c>
      <c r="E915" s="84">
        <v>200</v>
      </c>
      <c r="F915" s="85">
        <v>13</v>
      </c>
      <c r="G915" s="83" t="s">
        <v>885</v>
      </c>
      <c r="H915" s="83" t="s">
        <v>1360</v>
      </c>
      <c r="I915" s="85">
        <f>Planejamento2024[[#This Row],[Qnt de Itens]]*Planejamento2024[[#This Row],[Valor unitário]]</f>
        <v>2600</v>
      </c>
      <c r="J915" s="83" t="s">
        <v>20</v>
      </c>
      <c r="K915" s="83" t="s">
        <v>478</v>
      </c>
      <c r="L915" s="86">
        <v>45292</v>
      </c>
      <c r="M915" s="83" t="s">
        <v>20</v>
      </c>
      <c r="N915" s="87" t="s">
        <v>1361</v>
      </c>
      <c r="O915" s="83" t="s">
        <v>827</v>
      </c>
    </row>
    <row r="916" spans="1:15" ht="18">
      <c r="A916" s="81">
        <f t="shared" si="14"/>
        <v>915</v>
      </c>
      <c r="B916" s="82" t="s">
        <v>1773</v>
      </c>
      <c r="C916" s="83" t="s">
        <v>34</v>
      </c>
      <c r="D916" s="83" t="s">
        <v>35</v>
      </c>
      <c r="E916" s="84">
        <v>200</v>
      </c>
      <c r="F916" s="85">
        <v>11.81</v>
      </c>
      <c r="G916" s="83" t="s">
        <v>885</v>
      </c>
      <c r="H916" s="83" t="s">
        <v>1360</v>
      </c>
      <c r="I916" s="85">
        <f>Planejamento2024[[#This Row],[Qnt de Itens]]*Planejamento2024[[#This Row],[Valor unitário]]</f>
        <v>2362</v>
      </c>
      <c r="J916" s="83" t="s">
        <v>20</v>
      </c>
      <c r="K916" s="83" t="s">
        <v>478</v>
      </c>
      <c r="L916" s="86">
        <v>45292</v>
      </c>
      <c r="M916" s="83" t="s">
        <v>20</v>
      </c>
      <c r="N916" s="87" t="s">
        <v>1361</v>
      </c>
      <c r="O916" s="83" t="s">
        <v>827</v>
      </c>
    </row>
    <row r="917" spans="1:15" ht="36">
      <c r="A917" s="81">
        <f t="shared" si="14"/>
        <v>916</v>
      </c>
      <c r="B917" s="82" t="s">
        <v>1774</v>
      </c>
      <c r="C917" s="83" t="s">
        <v>34</v>
      </c>
      <c r="D917" s="83" t="s">
        <v>35</v>
      </c>
      <c r="E917" s="84">
        <v>300</v>
      </c>
      <c r="F917" s="85">
        <v>6.26</v>
      </c>
      <c r="G917" s="83" t="s">
        <v>885</v>
      </c>
      <c r="H917" s="83" t="s">
        <v>1360</v>
      </c>
      <c r="I917" s="85">
        <f>Planejamento2024[[#This Row],[Qnt de Itens]]*Planejamento2024[[#This Row],[Valor unitário]]</f>
        <v>1878</v>
      </c>
      <c r="J917" s="83" t="s">
        <v>20</v>
      </c>
      <c r="K917" s="83" t="s">
        <v>478</v>
      </c>
      <c r="L917" s="86">
        <v>45292</v>
      </c>
      <c r="M917" s="83" t="s">
        <v>20</v>
      </c>
      <c r="N917" s="87" t="s">
        <v>1361</v>
      </c>
      <c r="O917" s="83" t="s">
        <v>827</v>
      </c>
    </row>
    <row r="918" spans="1:15" ht="36">
      <c r="A918" s="81">
        <f t="shared" si="14"/>
        <v>917</v>
      </c>
      <c r="B918" s="82" t="s">
        <v>1775</v>
      </c>
      <c r="C918" s="83" t="s">
        <v>34</v>
      </c>
      <c r="D918" s="83" t="s">
        <v>35</v>
      </c>
      <c r="E918" s="84">
        <v>300</v>
      </c>
      <c r="F918" s="85">
        <v>5.28</v>
      </c>
      <c r="G918" s="83" t="s">
        <v>885</v>
      </c>
      <c r="H918" s="83" t="s">
        <v>1360</v>
      </c>
      <c r="I918" s="85">
        <f>Planejamento2024[[#This Row],[Qnt de Itens]]*Planejamento2024[[#This Row],[Valor unitário]]</f>
        <v>1584</v>
      </c>
      <c r="J918" s="83" t="s">
        <v>20</v>
      </c>
      <c r="K918" s="83" t="s">
        <v>478</v>
      </c>
      <c r="L918" s="86">
        <v>45292</v>
      </c>
      <c r="M918" s="83" t="s">
        <v>20</v>
      </c>
      <c r="N918" s="87" t="s">
        <v>1361</v>
      </c>
      <c r="O918" s="83" t="s">
        <v>827</v>
      </c>
    </row>
    <row r="919" spans="1:15" ht="36">
      <c r="A919" s="81">
        <f t="shared" si="14"/>
        <v>918</v>
      </c>
      <c r="B919" s="82" t="s">
        <v>1776</v>
      </c>
      <c r="C919" s="83" t="s">
        <v>34</v>
      </c>
      <c r="D919" s="83" t="s">
        <v>35</v>
      </c>
      <c r="E919" s="84">
        <v>300</v>
      </c>
      <c r="F919" s="85">
        <v>4.22</v>
      </c>
      <c r="G919" s="83" t="s">
        <v>885</v>
      </c>
      <c r="H919" s="83" t="s">
        <v>1360</v>
      </c>
      <c r="I919" s="85">
        <f>Planejamento2024[[#This Row],[Qnt de Itens]]*Planejamento2024[[#This Row],[Valor unitário]]</f>
        <v>1266</v>
      </c>
      <c r="J919" s="83" t="s">
        <v>20</v>
      </c>
      <c r="K919" s="83" t="s">
        <v>478</v>
      </c>
      <c r="L919" s="86">
        <v>45292</v>
      </c>
      <c r="M919" s="83" t="s">
        <v>20</v>
      </c>
      <c r="N919" s="87" t="s">
        <v>1361</v>
      </c>
      <c r="O919" s="83" t="s">
        <v>827</v>
      </c>
    </row>
    <row r="920" spans="1:15" ht="18">
      <c r="A920" s="81">
        <f t="shared" si="14"/>
        <v>919</v>
      </c>
      <c r="B920" s="82" t="s">
        <v>1777</v>
      </c>
      <c r="C920" s="83" t="s">
        <v>34</v>
      </c>
      <c r="D920" s="83" t="s">
        <v>35</v>
      </c>
      <c r="E920" s="84">
        <v>400</v>
      </c>
      <c r="F920" s="85">
        <v>1.94</v>
      </c>
      <c r="G920" s="83" t="s">
        <v>885</v>
      </c>
      <c r="H920" s="83" t="s">
        <v>1360</v>
      </c>
      <c r="I920" s="85">
        <f>Planejamento2024[[#This Row],[Qnt de Itens]]*Planejamento2024[[#This Row],[Valor unitário]]</f>
        <v>776</v>
      </c>
      <c r="J920" s="83" t="s">
        <v>20</v>
      </c>
      <c r="K920" s="83" t="s">
        <v>478</v>
      </c>
      <c r="L920" s="86">
        <v>45292</v>
      </c>
      <c r="M920" s="83" t="s">
        <v>20</v>
      </c>
      <c r="N920" s="87" t="s">
        <v>1361</v>
      </c>
      <c r="O920" s="83" t="s">
        <v>827</v>
      </c>
    </row>
    <row r="921" spans="1:15" ht="27">
      <c r="A921" s="81">
        <f t="shared" si="14"/>
        <v>920</v>
      </c>
      <c r="B921" s="82" t="s">
        <v>1778</v>
      </c>
      <c r="C921" s="83" t="s">
        <v>34</v>
      </c>
      <c r="D921" s="83" t="s">
        <v>35</v>
      </c>
      <c r="E921" s="84">
        <v>200</v>
      </c>
      <c r="F921" s="85">
        <v>27.63</v>
      </c>
      <c r="G921" s="83" t="s">
        <v>885</v>
      </c>
      <c r="H921" s="83" t="s">
        <v>1360</v>
      </c>
      <c r="I921" s="85">
        <f>Planejamento2024[[#This Row],[Qnt de Itens]]*Planejamento2024[[#This Row],[Valor unitário]]</f>
        <v>5526</v>
      </c>
      <c r="J921" s="83" t="s">
        <v>20</v>
      </c>
      <c r="K921" s="83" t="s">
        <v>478</v>
      </c>
      <c r="L921" s="86">
        <v>45292</v>
      </c>
      <c r="M921" s="83" t="s">
        <v>20</v>
      </c>
      <c r="N921" s="87" t="s">
        <v>1361</v>
      </c>
      <c r="O921" s="83" t="s">
        <v>827</v>
      </c>
    </row>
    <row r="922" spans="1:15" ht="18">
      <c r="A922" s="81">
        <f t="shared" si="14"/>
        <v>921</v>
      </c>
      <c r="B922" s="82" t="s">
        <v>1779</v>
      </c>
      <c r="C922" s="83" t="s">
        <v>34</v>
      </c>
      <c r="D922" s="83" t="s">
        <v>35</v>
      </c>
      <c r="E922" s="84">
        <v>50</v>
      </c>
      <c r="F922" s="85">
        <v>65.86</v>
      </c>
      <c r="G922" s="83" t="s">
        <v>885</v>
      </c>
      <c r="H922" s="83" t="s">
        <v>1360</v>
      </c>
      <c r="I922" s="85">
        <f>Planejamento2024[[#This Row],[Qnt de Itens]]*Planejamento2024[[#This Row],[Valor unitário]]</f>
        <v>3293</v>
      </c>
      <c r="J922" s="83" t="s">
        <v>20</v>
      </c>
      <c r="K922" s="83" t="s">
        <v>478</v>
      </c>
      <c r="L922" s="86">
        <v>45292</v>
      </c>
      <c r="M922" s="83" t="s">
        <v>20</v>
      </c>
      <c r="N922" s="87" t="s">
        <v>1361</v>
      </c>
      <c r="O922" s="83" t="s">
        <v>827</v>
      </c>
    </row>
    <row r="923" spans="1:15" ht="18">
      <c r="A923" s="81">
        <f t="shared" si="14"/>
        <v>922</v>
      </c>
      <c r="B923" s="82" t="s">
        <v>1780</v>
      </c>
      <c r="C923" s="83" t="s">
        <v>34</v>
      </c>
      <c r="D923" s="83" t="s">
        <v>35</v>
      </c>
      <c r="E923" s="84">
        <v>50</v>
      </c>
      <c r="F923" s="85">
        <v>43.88</v>
      </c>
      <c r="G923" s="83" t="s">
        <v>885</v>
      </c>
      <c r="H923" s="83" t="s">
        <v>1360</v>
      </c>
      <c r="I923" s="85">
        <f>Planejamento2024[[#This Row],[Qnt de Itens]]*Planejamento2024[[#This Row],[Valor unitário]]</f>
        <v>2194</v>
      </c>
      <c r="J923" s="83" t="s">
        <v>20</v>
      </c>
      <c r="K923" s="83" t="s">
        <v>478</v>
      </c>
      <c r="L923" s="86">
        <v>45292</v>
      </c>
      <c r="M923" s="83" t="s">
        <v>20</v>
      </c>
      <c r="N923" s="87" t="s">
        <v>1361</v>
      </c>
      <c r="O923" s="83" t="s">
        <v>827</v>
      </c>
    </row>
    <row r="924" spans="1:15" ht="18">
      <c r="A924" s="81">
        <f t="shared" si="14"/>
        <v>923</v>
      </c>
      <c r="B924" s="82" t="s">
        <v>1781</v>
      </c>
      <c r="C924" s="83" t="s">
        <v>34</v>
      </c>
      <c r="D924" s="83" t="s">
        <v>35</v>
      </c>
      <c r="E924" s="84">
        <v>50</v>
      </c>
      <c r="F924" s="85">
        <v>51.77</v>
      </c>
      <c r="G924" s="83" t="s">
        <v>885</v>
      </c>
      <c r="H924" s="83" t="s">
        <v>1360</v>
      </c>
      <c r="I924" s="85">
        <f>Planejamento2024[[#This Row],[Qnt de Itens]]*Planejamento2024[[#This Row],[Valor unitário]]</f>
        <v>2588.5</v>
      </c>
      <c r="J924" s="83" t="s">
        <v>20</v>
      </c>
      <c r="K924" s="83" t="s">
        <v>478</v>
      </c>
      <c r="L924" s="86">
        <v>45292</v>
      </c>
      <c r="M924" s="83" t="s">
        <v>20</v>
      </c>
      <c r="N924" s="87" t="s">
        <v>1361</v>
      </c>
      <c r="O924" s="83" t="s">
        <v>827</v>
      </c>
    </row>
    <row r="925" spans="1:15" ht="18">
      <c r="A925" s="81">
        <f t="shared" si="14"/>
        <v>924</v>
      </c>
      <c r="B925" s="82" t="s">
        <v>1782</v>
      </c>
      <c r="C925" s="83" t="s">
        <v>34</v>
      </c>
      <c r="D925" s="83" t="s">
        <v>35</v>
      </c>
      <c r="E925" s="84">
        <v>50</v>
      </c>
      <c r="F925" s="85">
        <v>43.75</v>
      </c>
      <c r="G925" s="83" t="s">
        <v>885</v>
      </c>
      <c r="H925" s="83" t="s">
        <v>1360</v>
      </c>
      <c r="I925" s="85">
        <f>Planejamento2024[[#This Row],[Qnt de Itens]]*Planejamento2024[[#This Row],[Valor unitário]]</f>
        <v>2187.5</v>
      </c>
      <c r="J925" s="83" t="s">
        <v>20</v>
      </c>
      <c r="K925" s="83" t="s">
        <v>478</v>
      </c>
      <c r="L925" s="86">
        <v>45292</v>
      </c>
      <c r="M925" s="83" t="s">
        <v>20</v>
      </c>
      <c r="N925" s="87" t="s">
        <v>1361</v>
      </c>
      <c r="O925" s="83" t="s">
        <v>827</v>
      </c>
    </row>
    <row r="926" spans="1:15" ht="45">
      <c r="A926" s="81">
        <f t="shared" si="14"/>
        <v>925</v>
      </c>
      <c r="B926" s="82" t="s">
        <v>1783</v>
      </c>
      <c r="C926" s="83" t="s">
        <v>34</v>
      </c>
      <c r="D926" s="83" t="s">
        <v>35</v>
      </c>
      <c r="E926" s="84">
        <v>50</v>
      </c>
      <c r="F926" s="85">
        <v>124.73</v>
      </c>
      <c r="G926" s="83" t="s">
        <v>885</v>
      </c>
      <c r="H926" s="83" t="s">
        <v>1360</v>
      </c>
      <c r="I926" s="85">
        <f>Planejamento2024[[#This Row],[Qnt de Itens]]*Planejamento2024[[#This Row],[Valor unitário]]</f>
        <v>6236.5</v>
      </c>
      <c r="J926" s="83" t="s">
        <v>20</v>
      </c>
      <c r="K926" s="83" t="s">
        <v>478</v>
      </c>
      <c r="L926" s="86">
        <v>45292</v>
      </c>
      <c r="M926" s="83" t="s">
        <v>20</v>
      </c>
      <c r="N926" s="87" t="s">
        <v>1361</v>
      </c>
      <c r="O926" s="83" t="s">
        <v>827</v>
      </c>
    </row>
    <row r="927" spans="1:15" ht="18">
      <c r="A927" s="81">
        <f t="shared" si="14"/>
        <v>926</v>
      </c>
      <c r="B927" s="82" t="s">
        <v>1784</v>
      </c>
      <c r="C927" s="83" t="s">
        <v>34</v>
      </c>
      <c r="D927" s="83" t="s">
        <v>35</v>
      </c>
      <c r="E927" s="84">
        <v>50</v>
      </c>
      <c r="F927" s="85">
        <v>147.80000000000001</v>
      </c>
      <c r="G927" s="83" t="s">
        <v>885</v>
      </c>
      <c r="H927" s="83" t="s">
        <v>1360</v>
      </c>
      <c r="I927" s="85">
        <f>Planejamento2024[[#This Row],[Qnt de Itens]]*Planejamento2024[[#This Row],[Valor unitário]]</f>
        <v>7390.0000000000009</v>
      </c>
      <c r="J927" s="83" t="s">
        <v>20</v>
      </c>
      <c r="K927" s="83" t="s">
        <v>478</v>
      </c>
      <c r="L927" s="86">
        <v>45292</v>
      </c>
      <c r="M927" s="83" t="s">
        <v>20</v>
      </c>
      <c r="N927" s="87" t="s">
        <v>1361</v>
      </c>
      <c r="O927" s="83" t="s">
        <v>827</v>
      </c>
    </row>
    <row r="928" spans="1:15" ht="18">
      <c r="A928" s="81">
        <f t="shared" si="14"/>
        <v>927</v>
      </c>
      <c r="B928" s="82" t="s">
        <v>1785</v>
      </c>
      <c r="C928" s="83" t="s">
        <v>34</v>
      </c>
      <c r="D928" s="83" t="s">
        <v>35</v>
      </c>
      <c r="E928" s="84">
        <v>300</v>
      </c>
      <c r="F928" s="85">
        <v>13.91</v>
      </c>
      <c r="G928" s="83" t="s">
        <v>885</v>
      </c>
      <c r="H928" s="83" t="s">
        <v>1360</v>
      </c>
      <c r="I928" s="85">
        <f>Planejamento2024[[#This Row],[Qnt de Itens]]*Planejamento2024[[#This Row],[Valor unitário]]</f>
        <v>4173</v>
      </c>
      <c r="J928" s="83" t="s">
        <v>20</v>
      </c>
      <c r="K928" s="83" t="s">
        <v>478</v>
      </c>
      <c r="L928" s="86">
        <v>45292</v>
      </c>
      <c r="M928" s="83" t="s">
        <v>20</v>
      </c>
      <c r="N928" s="87" t="s">
        <v>1361</v>
      </c>
      <c r="O928" s="83" t="s">
        <v>827</v>
      </c>
    </row>
    <row r="929" spans="1:15" ht="18">
      <c r="A929" s="81">
        <f t="shared" si="14"/>
        <v>928</v>
      </c>
      <c r="B929" s="82" t="s">
        <v>1786</v>
      </c>
      <c r="C929" s="83" t="s">
        <v>34</v>
      </c>
      <c r="D929" s="83" t="s">
        <v>35</v>
      </c>
      <c r="E929" s="84">
        <v>300</v>
      </c>
      <c r="F929" s="85">
        <v>14.04</v>
      </c>
      <c r="G929" s="83" t="s">
        <v>885</v>
      </c>
      <c r="H929" s="83" t="s">
        <v>1360</v>
      </c>
      <c r="I929" s="85">
        <f>Planejamento2024[[#This Row],[Qnt de Itens]]*Planejamento2024[[#This Row],[Valor unitário]]</f>
        <v>4212</v>
      </c>
      <c r="J929" s="83" t="s">
        <v>20</v>
      </c>
      <c r="K929" s="83" t="s">
        <v>478</v>
      </c>
      <c r="L929" s="86">
        <v>45292</v>
      </c>
      <c r="M929" s="83" t="s">
        <v>20</v>
      </c>
      <c r="N929" s="87" t="s">
        <v>1361</v>
      </c>
      <c r="O929" s="83" t="s">
        <v>827</v>
      </c>
    </row>
    <row r="930" spans="1:15" ht="18">
      <c r="A930" s="81">
        <f t="shared" si="14"/>
        <v>929</v>
      </c>
      <c r="B930" s="82" t="s">
        <v>1787</v>
      </c>
      <c r="C930" s="83" t="s">
        <v>34</v>
      </c>
      <c r="D930" s="83" t="s">
        <v>35</v>
      </c>
      <c r="E930" s="84">
        <v>300</v>
      </c>
      <c r="F930" s="85">
        <v>11.64</v>
      </c>
      <c r="G930" s="83" t="s">
        <v>885</v>
      </c>
      <c r="H930" s="83" t="s">
        <v>1360</v>
      </c>
      <c r="I930" s="85">
        <f>Planejamento2024[[#This Row],[Qnt de Itens]]*Planejamento2024[[#This Row],[Valor unitário]]</f>
        <v>3492</v>
      </c>
      <c r="J930" s="83" t="s">
        <v>20</v>
      </c>
      <c r="K930" s="83" t="s">
        <v>478</v>
      </c>
      <c r="L930" s="86">
        <v>45292</v>
      </c>
      <c r="M930" s="83" t="s">
        <v>20</v>
      </c>
      <c r="N930" s="87" t="s">
        <v>1361</v>
      </c>
      <c r="O930" s="83" t="s">
        <v>827</v>
      </c>
    </row>
    <row r="931" spans="1:15" ht="18">
      <c r="A931" s="81">
        <f t="shared" si="14"/>
        <v>930</v>
      </c>
      <c r="B931" s="82" t="s">
        <v>1788</v>
      </c>
      <c r="C931" s="83" t="s">
        <v>34</v>
      </c>
      <c r="D931" s="83" t="s">
        <v>35</v>
      </c>
      <c r="E931" s="84">
        <v>300</v>
      </c>
      <c r="F931" s="85">
        <v>17.91</v>
      </c>
      <c r="G931" s="83" t="s">
        <v>885</v>
      </c>
      <c r="H931" s="83" t="s">
        <v>1360</v>
      </c>
      <c r="I931" s="85">
        <f>Planejamento2024[[#This Row],[Qnt de Itens]]*Planejamento2024[[#This Row],[Valor unitário]]</f>
        <v>5373</v>
      </c>
      <c r="J931" s="83" t="s">
        <v>20</v>
      </c>
      <c r="K931" s="83" t="s">
        <v>478</v>
      </c>
      <c r="L931" s="86">
        <v>45292</v>
      </c>
      <c r="M931" s="83" t="s">
        <v>20</v>
      </c>
      <c r="N931" s="87" t="s">
        <v>1361</v>
      </c>
      <c r="O931" s="83" t="s">
        <v>827</v>
      </c>
    </row>
    <row r="932" spans="1:15" ht="36">
      <c r="A932" s="81">
        <f t="shared" si="14"/>
        <v>931</v>
      </c>
      <c r="B932" s="82" t="s">
        <v>1789</v>
      </c>
      <c r="C932" s="83" t="s">
        <v>34</v>
      </c>
      <c r="D932" s="83" t="s">
        <v>35</v>
      </c>
      <c r="E932" s="84">
        <v>200</v>
      </c>
      <c r="F932" s="85">
        <v>70.5</v>
      </c>
      <c r="G932" s="83" t="s">
        <v>885</v>
      </c>
      <c r="H932" s="83" t="s">
        <v>1360</v>
      </c>
      <c r="I932" s="85">
        <f>Planejamento2024[[#This Row],[Qnt de Itens]]*Planejamento2024[[#This Row],[Valor unitário]]</f>
        <v>14100</v>
      </c>
      <c r="J932" s="83" t="s">
        <v>20</v>
      </c>
      <c r="K932" s="83" t="s">
        <v>478</v>
      </c>
      <c r="L932" s="86">
        <v>45292</v>
      </c>
      <c r="M932" s="83" t="s">
        <v>20</v>
      </c>
      <c r="N932" s="87" t="s">
        <v>1361</v>
      </c>
      <c r="O932" s="83" t="s">
        <v>827</v>
      </c>
    </row>
    <row r="933" spans="1:15" ht="27">
      <c r="A933" s="81">
        <f t="shared" si="14"/>
        <v>932</v>
      </c>
      <c r="B933" s="82" t="s">
        <v>1790</v>
      </c>
      <c r="C933" s="83" t="s">
        <v>34</v>
      </c>
      <c r="D933" s="83" t="s">
        <v>35</v>
      </c>
      <c r="E933" s="84">
        <v>500</v>
      </c>
      <c r="F933" s="85">
        <v>109.75</v>
      </c>
      <c r="G933" s="83" t="s">
        <v>1791</v>
      </c>
      <c r="H933" s="83" t="s">
        <v>1360</v>
      </c>
      <c r="I933" s="85">
        <f>Planejamento2024[[#This Row],[Qnt de Itens]]*Planejamento2024[[#This Row],[Valor unitário]]</f>
        <v>54875</v>
      </c>
      <c r="J933" s="83" t="s">
        <v>20</v>
      </c>
      <c r="K933" s="83" t="s">
        <v>478</v>
      </c>
      <c r="L933" s="86">
        <v>45292</v>
      </c>
      <c r="M933" s="83" t="s">
        <v>20</v>
      </c>
      <c r="N933" s="87" t="s">
        <v>1361</v>
      </c>
      <c r="O933" s="83" t="s">
        <v>827</v>
      </c>
    </row>
    <row r="934" spans="1:15" ht="36">
      <c r="A934" s="81">
        <f t="shared" si="14"/>
        <v>933</v>
      </c>
      <c r="B934" s="82" t="s">
        <v>1792</v>
      </c>
      <c r="C934" s="83" t="s">
        <v>34</v>
      </c>
      <c r="D934" s="83" t="s">
        <v>35</v>
      </c>
      <c r="E934" s="84">
        <v>20</v>
      </c>
      <c r="F934" s="85">
        <v>678.22</v>
      </c>
      <c r="G934" s="83" t="s">
        <v>885</v>
      </c>
      <c r="H934" s="83" t="s">
        <v>1360</v>
      </c>
      <c r="I934" s="85">
        <f>Planejamento2024[[#This Row],[Qnt de Itens]]*Planejamento2024[[#This Row],[Valor unitário]]</f>
        <v>13564.400000000001</v>
      </c>
      <c r="J934" s="83" t="s">
        <v>20</v>
      </c>
      <c r="K934" s="83" t="s">
        <v>478</v>
      </c>
      <c r="L934" s="86">
        <v>45292</v>
      </c>
      <c r="M934" s="83" t="s">
        <v>20</v>
      </c>
      <c r="N934" s="87" t="s">
        <v>1361</v>
      </c>
      <c r="O934" s="83" t="s">
        <v>827</v>
      </c>
    </row>
    <row r="935" spans="1:15" ht="18">
      <c r="A935" s="81">
        <f t="shared" si="14"/>
        <v>934</v>
      </c>
      <c r="B935" s="82" t="s">
        <v>1793</v>
      </c>
      <c r="C935" s="83" t="s">
        <v>34</v>
      </c>
      <c r="D935" s="83" t="s">
        <v>35</v>
      </c>
      <c r="E935" s="84">
        <v>100</v>
      </c>
      <c r="F935" s="85">
        <v>8.73</v>
      </c>
      <c r="G935" s="83" t="s">
        <v>885</v>
      </c>
      <c r="H935" s="83" t="s">
        <v>1360</v>
      </c>
      <c r="I935" s="85">
        <f>Planejamento2024[[#This Row],[Qnt de Itens]]*Planejamento2024[[#This Row],[Valor unitário]]</f>
        <v>873</v>
      </c>
      <c r="J935" s="83" t="s">
        <v>20</v>
      </c>
      <c r="K935" s="83" t="s">
        <v>478</v>
      </c>
      <c r="L935" s="86">
        <v>45292</v>
      </c>
      <c r="M935" s="83" t="s">
        <v>20</v>
      </c>
      <c r="N935" s="87" t="s">
        <v>1361</v>
      </c>
      <c r="O935" s="83" t="s">
        <v>827</v>
      </c>
    </row>
    <row r="936" spans="1:15" ht="27">
      <c r="A936" s="81">
        <f t="shared" si="14"/>
        <v>935</v>
      </c>
      <c r="B936" s="82" t="s">
        <v>1794</v>
      </c>
      <c r="C936" s="83" t="s">
        <v>34</v>
      </c>
      <c r="D936" s="83" t="s">
        <v>35</v>
      </c>
      <c r="E936" s="84">
        <v>10</v>
      </c>
      <c r="F936" s="85">
        <v>1052.5</v>
      </c>
      <c r="G936" s="83" t="s">
        <v>885</v>
      </c>
      <c r="H936" s="83" t="s">
        <v>1360</v>
      </c>
      <c r="I936" s="85">
        <f>Planejamento2024[[#This Row],[Qnt de Itens]]*Planejamento2024[[#This Row],[Valor unitário]]</f>
        <v>10525</v>
      </c>
      <c r="J936" s="83" t="s">
        <v>20</v>
      </c>
      <c r="K936" s="83" t="s">
        <v>478</v>
      </c>
      <c r="L936" s="86">
        <v>45292</v>
      </c>
      <c r="M936" s="83" t="s">
        <v>20</v>
      </c>
      <c r="N936" s="87" t="s">
        <v>1361</v>
      </c>
      <c r="O936" s="83" t="s">
        <v>827</v>
      </c>
    </row>
    <row r="937" spans="1:15" ht="18">
      <c r="A937" s="81">
        <f t="shared" si="14"/>
        <v>936</v>
      </c>
      <c r="B937" s="82" t="s">
        <v>1795</v>
      </c>
      <c r="C937" s="83" t="s">
        <v>34</v>
      </c>
      <c r="D937" s="83" t="s">
        <v>35</v>
      </c>
      <c r="E937" s="84">
        <v>300</v>
      </c>
      <c r="F937" s="85">
        <v>3.61</v>
      </c>
      <c r="G937" s="83" t="s">
        <v>885</v>
      </c>
      <c r="H937" s="83" t="s">
        <v>1360</v>
      </c>
      <c r="I937" s="85">
        <f>Planejamento2024[[#This Row],[Qnt de Itens]]*Planejamento2024[[#This Row],[Valor unitário]]</f>
        <v>1083</v>
      </c>
      <c r="J937" s="83" t="s">
        <v>20</v>
      </c>
      <c r="K937" s="83" t="s">
        <v>478</v>
      </c>
      <c r="L937" s="86">
        <v>45292</v>
      </c>
      <c r="M937" s="83" t="s">
        <v>20</v>
      </c>
      <c r="N937" s="87" t="s">
        <v>1361</v>
      </c>
      <c r="O937" s="83" t="s">
        <v>827</v>
      </c>
    </row>
    <row r="938" spans="1:15" ht="27">
      <c r="A938" s="81">
        <f t="shared" si="14"/>
        <v>937</v>
      </c>
      <c r="B938" s="82" t="s">
        <v>1796</v>
      </c>
      <c r="C938" s="83" t="s">
        <v>34</v>
      </c>
      <c r="D938" s="83" t="s">
        <v>35</v>
      </c>
      <c r="E938" s="84">
        <v>50</v>
      </c>
      <c r="F938" s="85">
        <v>34.11</v>
      </c>
      <c r="G938" s="83" t="s">
        <v>885</v>
      </c>
      <c r="H938" s="83" t="s">
        <v>1360</v>
      </c>
      <c r="I938" s="85">
        <f>Planejamento2024[[#This Row],[Qnt de Itens]]*Planejamento2024[[#This Row],[Valor unitário]]</f>
        <v>1705.5</v>
      </c>
      <c r="J938" s="83" t="s">
        <v>20</v>
      </c>
      <c r="K938" s="83" t="s">
        <v>478</v>
      </c>
      <c r="L938" s="86">
        <v>45292</v>
      </c>
      <c r="M938" s="83" t="s">
        <v>20</v>
      </c>
      <c r="N938" s="87" t="s">
        <v>1361</v>
      </c>
      <c r="O938" s="83" t="s">
        <v>827</v>
      </c>
    </row>
    <row r="939" spans="1:15" ht="27">
      <c r="A939" s="81">
        <f t="shared" si="14"/>
        <v>938</v>
      </c>
      <c r="B939" s="82" t="s">
        <v>1797</v>
      </c>
      <c r="C939" s="83" t="s">
        <v>34</v>
      </c>
      <c r="D939" s="83" t="s">
        <v>35</v>
      </c>
      <c r="E939" s="84">
        <v>50</v>
      </c>
      <c r="F939" s="85">
        <v>58.85</v>
      </c>
      <c r="G939" s="83" t="s">
        <v>885</v>
      </c>
      <c r="H939" s="83" t="s">
        <v>1360</v>
      </c>
      <c r="I939" s="85">
        <f>Planejamento2024[[#This Row],[Qnt de Itens]]*Planejamento2024[[#This Row],[Valor unitário]]</f>
        <v>2942.5</v>
      </c>
      <c r="J939" s="83" t="s">
        <v>20</v>
      </c>
      <c r="K939" s="83" t="s">
        <v>478</v>
      </c>
      <c r="L939" s="86">
        <v>45292</v>
      </c>
      <c r="M939" s="83" t="s">
        <v>20</v>
      </c>
      <c r="N939" s="87" t="s">
        <v>1361</v>
      </c>
      <c r="O939" s="83" t="s">
        <v>827</v>
      </c>
    </row>
    <row r="940" spans="1:15" ht="18">
      <c r="A940" s="81">
        <f t="shared" si="14"/>
        <v>939</v>
      </c>
      <c r="B940" s="82" t="s">
        <v>1798</v>
      </c>
      <c r="C940" s="83" t="s">
        <v>34</v>
      </c>
      <c r="D940" s="83" t="s">
        <v>35</v>
      </c>
      <c r="E940" s="84">
        <v>50</v>
      </c>
      <c r="F940" s="85">
        <v>24.79</v>
      </c>
      <c r="G940" s="83" t="s">
        <v>885</v>
      </c>
      <c r="H940" s="83" t="s">
        <v>1360</v>
      </c>
      <c r="I940" s="85">
        <f>Planejamento2024[[#This Row],[Qnt de Itens]]*Planejamento2024[[#This Row],[Valor unitário]]</f>
        <v>1239.5</v>
      </c>
      <c r="J940" s="83" t="s">
        <v>20</v>
      </c>
      <c r="K940" s="83" t="s">
        <v>478</v>
      </c>
      <c r="L940" s="86">
        <v>45292</v>
      </c>
      <c r="M940" s="83" t="s">
        <v>20</v>
      </c>
      <c r="N940" s="87" t="s">
        <v>1361</v>
      </c>
      <c r="O940" s="83" t="s">
        <v>827</v>
      </c>
    </row>
    <row r="941" spans="1:15" ht="18">
      <c r="A941" s="81">
        <f t="shared" si="14"/>
        <v>940</v>
      </c>
      <c r="B941" s="82" t="s">
        <v>1799</v>
      </c>
      <c r="C941" s="83" t="s">
        <v>34</v>
      </c>
      <c r="D941" s="83" t="s">
        <v>35</v>
      </c>
      <c r="E941" s="84">
        <v>100</v>
      </c>
      <c r="F941" s="85">
        <v>11.3</v>
      </c>
      <c r="G941" s="83" t="s">
        <v>885</v>
      </c>
      <c r="H941" s="83" t="s">
        <v>1360</v>
      </c>
      <c r="I941" s="85">
        <f>Planejamento2024[[#This Row],[Qnt de Itens]]*Planejamento2024[[#This Row],[Valor unitário]]</f>
        <v>1130</v>
      </c>
      <c r="J941" s="83" t="s">
        <v>20</v>
      </c>
      <c r="K941" s="83" t="s">
        <v>478</v>
      </c>
      <c r="L941" s="86">
        <v>45292</v>
      </c>
      <c r="M941" s="83" t="s">
        <v>20</v>
      </c>
      <c r="N941" s="87" t="s">
        <v>1361</v>
      </c>
      <c r="O941" s="83" t="s">
        <v>827</v>
      </c>
    </row>
    <row r="942" spans="1:15" ht="27">
      <c r="A942" s="81">
        <f t="shared" si="14"/>
        <v>941</v>
      </c>
      <c r="B942" s="82" t="s">
        <v>1800</v>
      </c>
      <c r="C942" s="83" t="s">
        <v>34</v>
      </c>
      <c r="D942" s="83" t="s">
        <v>35</v>
      </c>
      <c r="E942" s="84">
        <v>300</v>
      </c>
      <c r="F942" s="85">
        <v>1.65</v>
      </c>
      <c r="G942" s="83" t="s">
        <v>885</v>
      </c>
      <c r="H942" s="83" t="s">
        <v>1360</v>
      </c>
      <c r="I942" s="85">
        <f>Planejamento2024[[#This Row],[Qnt de Itens]]*Planejamento2024[[#This Row],[Valor unitário]]</f>
        <v>495</v>
      </c>
      <c r="J942" s="83" t="s">
        <v>20</v>
      </c>
      <c r="K942" s="83" t="s">
        <v>478</v>
      </c>
      <c r="L942" s="86">
        <v>45292</v>
      </c>
      <c r="M942" s="83" t="s">
        <v>20</v>
      </c>
      <c r="N942" s="87" t="s">
        <v>1361</v>
      </c>
      <c r="O942" s="83" t="s">
        <v>827</v>
      </c>
    </row>
    <row r="943" spans="1:15" ht="27">
      <c r="A943" s="81">
        <f t="shared" si="14"/>
        <v>942</v>
      </c>
      <c r="B943" s="82" t="s">
        <v>1801</v>
      </c>
      <c r="C943" s="83" t="s">
        <v>34</v>
      </c>
      <c r="D943" s="83" t="s">
        <v>35</v>
      </c>
      <c r="E943" s="84">
        <v>300</v>
      </c>
      <c r="F943" s="85">
        <v>1.19</v>
      </c>
      <c r="G943" s="83" t="s">
        <v>885</v>
      </c>
      <c r="H943" s="83" t="s">
        <v>1360</v>
      </c>
      <c r="I943" s="85">
        <f>Planejamento2024[[#This Row],[Qnt de Itens]]*Planejamento2024[[#This Row],[Valor unitário]]</f>
        <v>357</v>
      </c>
      <c r="J943" s="83" t="s">
        <v>20</v>
      </c>
      <c r="K943" s="83" t="s">
        <v>478</v>
      </c>
      <c r="L943" s="86">
        <v>45292</v>
      </c>
      <c r="M943" s="83" t="s">
        <v>20</v>
      </c>
      <c r="N943" s="87" t="s">
        <v>1361</v>
      </c>
      <c r="O943" s="83" t="s">
        <v>827</v>
      </c>
    </row>
    <row r="944" spans="1:15" ht="36">
      <c r="A944" s="81">
        <f t="shared" si="14"/>
        <v>943</v>
      </c>
      <c r="B944" s="82" t="s">
        <v>1802</v>
      </c>
      <c r="C944" s="83" t="s">
        <v>34</v>
      </c>
      <c r="D944" s="83" t="s">
        <v>35</v>
      </c>
      <c r="E944" s="84">
        <v>300</v>
      </c>
      <c r="F944" s="85">
        <v>1.63</v>
      </c>
      <c r="G944" s="83" t="s">
        <v>885</v>
      </c>
      <c r="H944" s="83" t="s">
        <v>1360</v>
      </c>
      <c r="I944" s="85">
        <f>Planejamento2024[[#This Row],[Qnt de Itens]]*Planejamento2024[[#This Row],[Valor unitário]]</f>
        <v>488.99999999999994</v>
      </c>
      <c r="J944" s="83" t="s">
        <v>20</v>
      </c>
      <c r="K944" s="83" t="s">
        <v>478</v>
      </c>
      <c r="L944" s="86">
        <v>45292</v>
      </c>
      <c r="M944" s="83" t="s">
        <v>20</v>
      </c>
      <c r="N944" s="87" t="s">
        <v>1361</v>
      </c>
      <c r="O944" s="83" t="s">
        <v>827</v>
      </c>
    </row>
    <row r="945" spans="1:15" ht="27">
      <c r="A945" s="81">
        <f t="shared" si="14"/>
        <v>944</v>
      </c>
      <c r="B945" s="82" t="s">
        <v>1803</v>
      </c>
      <c r="C945" s="83" t="s">
        <v>34</v>
      </c>
      <c r="D945" s="83" t="s">
        <v>35</v>
      </c>
      <c r="E945" s="84">
        <v>300</v>
      </c>
      <c r="F945" s="85">
        <v>1.36</v>
      </c>
      <c r="G945" s="83" t="s">
        <v>885</v>
      </c>
      <c r="H945" s="83" t="s">
        <v>1360</v>
      </c>
      <c r="I945" s="85">
        <f>Planejamento2024[[#This Row],[Qnt de Itens]]*Planejamento2024[[#This Row],[Valor unitário]]</f>
        <v>408.00000000000006</v>
      </c>
      <c r="J945" s="83" t="s">
        <v>20</v>
      </c>
      <c r="K945" s="83" t="s">
        <v>478</v>
      </c>
      <c r="L945" s="86">
        <v>45292</v>
      </c>
      <c r="M945" s="83" t="s">
        <v>20</v>
      </c>
      <c r="N945" s="87" t="s">
        <v>1361</v>
      </c>
      <c r="O945" s="83" t="s">
        <v>827</v>
      </c>
    </row>
    <row r="946" spans="1:15" ht="27">
      <c r="A946" s="81">
        <f t="shared" si="14"/>
        <v>945</v>
      </c>
      <c r="B946" s="82" t="s">
        <v>1804</v>
      </c>
      <c r="C946" s="83" t="s">
        <v>34</v>
      </c>
      <c r="D946" s="83" t="s">
        <v>35</v>
      </c>
      <c r="E946" s="84">
        <v>300</v>
      </c>
      <c r="F946" s="85">
        <v>2.33</v>
      </c>
      <c r="G946" s="83" t="s">
        <v>885</v>
      </c>
      <c r="H946" s="83" t="s">
        <v>1360</v>
      </c>
      <c r="I946" s="85">
        <f>Planejamento2024[[#This Row],[Qnt de Itens]]*Planejamento2024[[#This Row],[Valor unitário]]</f>
        <v>699</v>
      </c>
      <c r="J946" s="83" t="s">
        <v>20</v>
      </c>
      <c r="K946" s="83" t="s">
        <v>478</v>
      </c>
      <c r="L946" s="86">
        <v>45292</v>
      </c>
      <c r="M946" s="83" t="s">
        <v>20</v>
      </c>
      <c r="N946" s="87" t="s">
        <v>1361</v>
      </c>
      <c r="O946" s="83" t="s">
        <v>827</v>
      </c>
    </row>
    <row r="947" spans="1:15" ht="27">
      <c r="A947" s="81">
        <f t="shared" si="14"/>
        <v>946</v>
      </c>
      <c r="B947" s="82" t="s">
        <v>1805</v>
      </c>
      <c r="C947" s="83" t="s">
        <v>34</v>
      </c>
      <c r="D947" s="83" t="s">
        <v>35</v>
      </c>
      <c r="E947" s="84">
        <v>300</v>
      </c>
      <c r="F947" s="85">
        <v>1.72</v>
      </c>
      <c r="G947" s="83" t="s">
        <v>885</v>
      </c>
      <c r="H947" s="83" t="s">
        <v>1360</v>
      </c>
      <c r="I947" s="85">
        <f>Planejamento2024[[#This Row],[Qnt de Itens]]*Planejamento2024[[#This Row],[Valor unitário]]</f>
        <v>516</v>
      </c>
      <c r="J947" s="83" t="s">
        <v>20</v>
      </c>
      <c r="K947" s="83" t="s">
        <v>478</v>
      </c>
      <c r="L947" s="86">
        <v>45292</v>
      </c>
      <c r="M947" s="83" t="s">
        <v>20</v>
      </c>
      <c r="N947" s="87" t="s">
        <v>1361</v>
      </c>
      <c r="O947" s="83" t="s">
        <v>827</v>
      </c>
    </row>
    <row r="948" spans="1:15" ht="18">
      <c r="A948" s="81">
        <f t="shared" si="14"/>
        <v>947</v>
      </c>
      <c r="B948" s="82" t="s">
        <v>1806</v>
      </c>
      <c r="C948" s="83" t="s">
        <v>34</v>
      </c>
      <c r="D948" s="83" t="s">
        <v>35</v>
      </c>
      <c r="E948" s="84">
        <v>300</v>
      </c>
      <c r="F948" s="85">
        <v>9.86</v>
      </c>
      <c r="G948" s="83" t="s">
        <v>885</v>
      </c>
      <c r="H948" s="83" t="s">
        <v>1360</v>
      </c>
      <c r="I948" s="85">
        <f>Planejamento2024[[#This Row],[Qnt de Itens]]*Planejamento2024[[#This Row],[Valor unitário]]</f>
        <v>2958</v>
      </c>
      <c r="J948" s="83" t="s">
        <v>20</v>
      </c>
      <c r="K948" s="83" t="s">
        <v>478</v>
      </c>
      <c r="L948" s="86">
        <v>45292</v>
      </c>
      <c r="M948" s="83" t="s">
        <v>20</v>
      </c>
      <c r="N948" s="87" t="s">
        <v>1361</v>
      </c>
      <c r="O948" s="83" t="s">
        <v>827</v>
      </c>
    </row>
    <row r="949" spans="1:15" ht="18">
      <c r="A949" s="81">
        <f t="shared" si="14"/>
        <v>948</v>
      </c>
      <c r="B949" s="82" t="s">
        <v>1807</v>
      </c>
      <c r="C949" s="83" t="s">
        <v>34</v>
      </c>
      <c r="D949" s="83" t="s">
        <v>35</v>
      </c>
      <c r="E949" s="84">
        <v>300</v>
      </c>
      <c r="F949" s="85">
        <v>8.02</v>
      </c>
      <c r="G949" s="83" t="s">
        <v>885</v>
      </c>
      <c r="H949" s="83" t="s">
        <v>1360</v>
      </c>
      <c r="I949" s="85">
        <f>Planejamento2024[[#This Row],[Qnt de Itens]]*Planejamento2024[[#This Row],[Valor unitário]]</f>
        <v>2406</v>
      </c>
      <c r="J949" s="83" t="s">
        <v>20</v>
      </c>
      <c r="K949" s="83" t="s">
        <v>478</v>
      </c>
      <c r="L949" s="86">
        <v>45292</v>
      </c>
      <c r="M949" s="83" t="s">
        <v>20</v>
      </c>
      <c r="N949" s="87" t="s">
        <v>1361</v>
      </c>
      <c r="O949" s="83" t="s">
        <v>827</v>
      </c>
    </row>
    <row r="950" spans="1:15" ht="27">
      <c r="A950" s="81">
        <f t="shared" si="14"/>
        <v>949</v>
      </c>
      <c r="B950" s="82" t="s">
        <v>1808</v>
      </c>
      <c r="C950" s="83" t="s">
        <v>34</v>
      </c>
      <c r="D950" s="83" t="s">
        <v>35</v>
      </c>
      <c r="E950" s="84">
        <v>200</v>
      </c>
      <c r="F950" s="85">
        <v>724.67</v>
      </c>
      <c r="G950" s="83" t="s">
        <v>885</v>
      </c>
      <c r="H950" s="83" t="s">
        <v>1360</v>
      </c>
      <c r="I950" s="85">
        <f>Planejamento2024[[#This Row],[Qnt de Itens]]*Planejamento2024[[#This Row],[Valor unitário]]</f>
        <v>144934</v>
      </c>
      <c r="J950" s="83" t="s">
        <v>20</v>
      </c>
      <c r="K950" s="83" t="s">
        <v>478</v>
      </c>
      <c r="L950" s="86">
        <v>45292</v>
      </c>
      <c r="M950" s="83" t="s">
        <v>20</v>
      </c>
      <c r="N950" s="87" t="s">
        <v>1361</v>
      </c>
      <c r="O950" s="83" t="s">
        <v>827</v>
      </c>
    </row>
    <row r="951" spans="1:15" ht="18">
      <c r="A951" s="81">
        <f t="shared" si="14"/>
        <v>950</v>
      </c>
      <c r="B951" s="82" t="s">
        <v>1809</v>
      </c>
      <c r="C951" s="83" t="s">
        <v>34</v>
      </c>
      <c r="D951" s="83" t="s">
        <v>35</v>
      </c>
      <c r="E951" s="84">
        <v>300</v>
      </c>
      <c r="F951" s="85">
        <v>47.98</v>
      </c>
      <c r="G951" s="83" t="s">
        <v>255</v>
      </c>
      <c r="H951" s="83" t="s">
        <v>1360</v>
      </c>
      <c r="I951" s="85">
        <f>Planejamento2024[[#This Row],[Qnt de Itens]]*Planejamento2024[[#This Row],[Valor unitário]]</f>
        <v>14393.999999999998</v>
      </c>
      <c r="J951" s="83" t="s">
        <v>20</v>
      </c>
      <c r="K951" s="83" t="s">
        <v>478</v>
      </c>
      <c r="L951" s="86">
        <v>45292</v>
      </c>
      <c r="M951" s="83" t="s">
        <v>20</v>
      </c>
      <c r="N951" s="87" t="s">
        <v>1361</v>
      </c>
      <c r="O951" s="83" t="s">
        <v>827</v>
      </c>
    </row>
    <row r="952" spans="1:15" ht="18">
      <c r="A952" s="81">
        <f t="shared" si="14"/>
        <v>951</v>
      </c>
      <c r="B952" s="82" t="s">
        <v>1810</v>
      </c>
      <c r="C952" s="83" t="s">
        <v>34</v>
      </c>
      <c r="D952" s="83" t="s">
        <v>35</v>
      </c>
      <c r="E952" s="84">
        <v>300</v>
      </c>
      <c r="F952" s="85">
        <v>48.2</v>
      </c>
      <c r="G952" s="83" t="s">
        <v>255</v>
      </c>
      <c r="H952" s="83" t="s">
        <v>1360</v>
      </c>
      <c r="I952" s="85">
        <f>Planejamento2024[[#This Row],[Qnt de Itens]]*Planejamento2024[[#This Row],[Valor unitário]]</f>
        <v>14460</v>
      </c>
      <c r="J952" s="83" t="s">
        <v>20</v>
      </c>
      <c r="K952" s="83" t="s">
        <v>478</v>
      </c>
      <c r="L952" s="86">
        <v>45292</v>
      </c>
      <c r="M952" s="83" t="s">
        <v>20</v>
      </c>
      <c r="N952" s="87" t="s">
        <v>1361</v>
      </c>
      <c r="O952" s="83" t="s">
        <v>827</v>
      </c>
    </row>
    <row r="953" spans="1:15" ht="18">
      <c r="A953" s="81">
        <f t="shared" si="14"/>
        <v>952</v>
      </c>
      <c r="B953" s="82" t="s">
        <v>1811</v>
      </c>
      <c r="C953" s="83" t="s">
        <v>34</v>
      </c>
      <c r="D953" s="83" t="s">
        <v>35</v>
      </c>
      <c r="E953" s="84">
        <v>300</v>
      </c>
      <c r="F953" s="85">
        <v>42.86</v>
      </c>
      <c r="G953" s="83" t="s">
        <v>255</v>
      </c>
      <c r="H953" s="83" t="s">
        <v>1360</v>
      </c>
      <c r="I953" s="85">
        <f>Planejamento2024[[#This Row],[Qnt de Itens]]*Planejamento2024[[#This Row],[Valor unitário]]</f>
        <v>12858</v>
      </c>
      <c r="J953" s="83" t="s">
        <v>20</v>
      </c>
      <c r="K953" s="83" t="s">
        <v>478</v>
      </c>
      <c r="L953" s="86">
        <v>45292</v>
      </c>
      <c r="M953" s="83" t="s">
        <v>20</v>
      </c>
      <c r="N953" s="87" t="s">
        <v>1361</v>
      </c>
      <c r="O953" s="83" t="s">
        <v>827</v>
      </c>
    </row>
    <row r="954" spans="1:15" ht="18">
      <c r="A954" s="81">
        <f t="shared" si="14"/>
        <v>953</v>
      </c>
      <c r="B954" s="82" t="s">
        <v>1812</v>
      </c>
      <c r="C954" s="83" t="s">
        <v>34</v>
      </c>
      <c r="D954" s="83" t="s">
        <v>35</v>
      </c>
      <c r="E954" s="84">
        <v>100</v>
      </c>
      <c r="F954" s="85">
        <v>42.07</v>
      </c>
      <c r="G954" s="83" t="s">
        <v>255</v>
      </c>
      <c r="H954" s="83" t="s">
        <v>1360</v>
      </c>
      <c r="I954" s="85">
        <f>Planejamento2024[[#This Row],[Qnt de Itens]]*Planejamento2024[[#This Row],[Valor unitário]]</f>
        <v>4207</v>
      </c>
      <c r="J954" s="83" t="s">
        <v>20</v>
      </c>
      <c r="K954" s="83" t="s">
        <v>478</v>
      </c>
      <c r="L954" s="86">
        <v>45292</v>
      </c>
      <c r="M954" s="83" t="s">
        <v>20</v>
      </c>
      <c r="N954" s="87" t="s">
        <v>1361</v>
      </c>
      <c r="O954" s="83" t="s">
        <v>827</v>
      </c>
    </row>
    <row r="955" spans="1:15" ht="18">
      <c r="A955" s="81">
        <f t="shared" si="14"/>
        <v>954</v>
      </c>
      <c r="B955" s="82" t="s">
        <v>1813</v>
      </c>
      <c r="C955" s="83" t="s">
        <v>34</v>
      </c>
      <c r="D955" s="83" t="s">
        <v>35</v>
      </c>
      <c r="E955" s="84">
        <v>400</v>
      </c>
      <c r="F955" s="85">
        <v>43.68</v>
      </c>
      <c r="G955" s="83" t="s">
        <v>255</v>
      </c>
      <c r="H955" s="83" t="s">
        <v>1360</v>
      </c>
      <c r="I955" s="85">
        <f>Planejamento2024[[#This Row],[Qnt de Itens]]*Planejamento2024[[#This Row],[Valor unitário]]</f>
        <v>17472</v>
      </c>
      <c r="J955" s="83" t="s">
        <v>20</v>
      </c>
      <c r="K955" s="83" t="s">
        <v>478</v>
      </c>
      <c r="L955" s="86">
        <v>45292</v>
      </c>
      <c r="M955" s="83" t="s">
        <v>20</v>
      </c>
      <c r="N955" s="87" t="s">
        <v>1361</v>
      </c>
      <c r="O955" s="83" t="s">
        <v>827</v>
      </c>
    </row>
    <row r="956" spans="1:15" ht="18">
      <c r="A956" s="81">
        <f t="shared" si="14"/>
        <v>955</v>
      </c>
      <c r="B956" s="82" t="s">
        <v>1814</v>
      </c>
      <c r="C956" s="83" t="s">
        <v>34</v>
      </c>
      <c r="D956" s="83" t="s">
        <v>35</v>
      </c>
      <c r="E956" s="84">
        <v>300</v>
      </c>
      <c r="F956" s="85">
        <v>39.340000000000003</v>
      </c>
      <c r="G956" s="83" t="s">
        <v>255</v>
      </c>
      <c r="H956" s="83" t="s">
        <v>1360</v>
      </c>
      <c r="I956" s="85">
        <f>Planejamento2024[[#This Row],[Qnt de Itens]]*Planejamento2024[[#This Row],[Valor unitário]]</f>
        <v>11802.000000000002</v>
      </c>
      <c r="J956" s="83" t="s">
        <v>20</v>
      </c>
      <c r="K956" s="83" t="s">
        <v>478</v>
      </c>
      <c r="L956" s="86">
        <v>45292</v>
      </c>
      <c r="M956" s="83" t="s">
        <v>20</v>
      </c>
      <c r="N956" s="87" t="s">
        <v>1361</v>
      </c>
      <c r="O956" s="83" t="s">
        <v>827</v>
      </c>
    </row>
    <row r="957" spans="1:15" ht="18">
      <c r="A957" s="81">
        <f t="shared" si="14"/>
        <v>956</v>
      </c>
      <c r="B957" s="82" t="s">
        <v>1815</v>
      </c>
      <c r="C957" s="83" t="s">
        <v>34</v>
      </c>
      <c r="D957" s="83" t="s">
        <v>35</v>
      </c>
      <c r="E957" s="84">
        <v>200</v>
      </c>
      <c r="F957" s="85">
        <v>42.63</v>
      </c>
      <c r="G957" s="83" t="s">
        <v>255</v>
      </c>
      <c r="H957" s="83" t="s">
        <v>1360</v>
      </c>
      <c r="I957" s="85">
        <f>Planejamento2024[[#This Row],[Qnt de Itens]]*Planejamento2024[[#This Row],[Valor unitário]]</f>
        <v>8526</v>
      </c>
      <c r="J957" s="83" t="s">
        <v>20</v>
      </c>
      <c r="K957" s="83" t="s">
        <v>478</v>
      </c>
      <c r="L957" s="86">
        <v>45292</v>
      </c>
      <c r="M957" s="83" t="s">
        <v>20</v>
      </c>
      <c r="N957" s="87" t="s">
        <v>1361</v>
      </c>
      <c r="O957" s="83" t="s">
        <v>827</v>
      </c>
    </row>
    <row r="958" spans="1:15" ht="18">
      <c r="A958" s="81">
        <f t="shared" si="14"/>
        <v>957</v>
      </c>
      <c r="B958" s="82" t="s">
        <v>1816</v>
      </c>
      <c r="C958" s="83" t="s">
        <v>34</v>
      </c>
      <c r="D958" s="83" t="s">
        <v>35</v>
      </c>
      <c r="E958" s="84">
        <v>300</v>
      </c>
      <c r="F958" s="85">
        <v>39.78</v>
      </c>
      <c r="G958" s="83" t="s">
        <v>255</v>
      </c>
      <c r="H958" s="83" t="s">
        <v>1360</v>
      </c>
      <c r="I958" s="85">
        <f>Planejamento2024[[#This Row],[Qnt de Itens]]*Planejamento2024[[#This Row],[Valor unitário]]</f>
        <v>11934</v>
      </c>
      <c r="J958" s="83" t="s">
        <v>20</v>
      </c>
      <c r="K958" s="83" t="s">
        <v>478</v>
      </c>
      <c r="L958" s="86">
        <v>45292</v>
      </c>
      <c r="M958" s="83" t="s">
        <v>20</v>
      </c>
      <c r="N958" s="87" t="s">
        <v>1361</v>
      </c>
      <c r="O958" s="83" t="s">
        <v>827</v>
      </c>
    </row>
    <row r="959" spans="1:15" ht="18">
      <c r="A959" s="81">
        <f t="shared" si="14"/>
        <v>958</v>
      </c>
      <c r="B959" s="82" t="s">
        <v>1817</v>
      </c>
      <c r="C959" s="83" t="s">
        <v>34</v>
      </c>
      <c r="D959" s="83" t="s">
        <v>35</v>
      </c>
      <c r="E959" s="84">
        <v>300</v>
      </c>
      <c r="F959" s="85">
        <v>39.29</v>
      </c>
      <c r="G959" s="83" t="s">
        <v>255</v>
      </c>
      <c r="H959" s="83" t="s">
        <v>1360</v>
      </c>
      <c r="I959" s="85">
        <f>Planejamento2024[[#This Row],[Qnt de Itens]]*Planejamento2024[[#This Row],[Valor unitário]]</f>
        <v>11787</v>
      </c>
      <c r="J959" s="83" t="s">
        <v>20</v>
      </c>
      <c r="K959" s="83" t="s">
        <v>478</v>
      </c>
      <c r="L959" s="86">
        <v>45292</v>
      </c>
      <c r="M959" s="83" t="s">
        <v>20</v>
      </c>
      <c r="N959" s="87" t="s">
        <v>1361</v>
      </c>
      <c r="O959" s="83" t="s">
        <v>827</v>
      </c>
    </row>
    <row r="960" spans="1:15" ht="18">
      <c r="A960" s="81">
        <f t="shared" si="14"/>
        <v>959</v>
      </c>
      <c r="B960" s="82" t="s">
        <v>1818</v>
      </c>
      <c r="C960" s="83" t="s">
        <v>34</v>
      </c>
      <c r="D960" s="83" t="s">
        <v>35</v>
      </c>
      <c r="E960" s="84">
        <v>300</v>
      </c>
      <c r="F960" s="85">
        <v>40.64</v>
      </c>
      <c r="G960" s="83" t="s">
        <v>255</v>
      </c>
      <c r="H960" s="83" t="s">
        <v>1360</v>
      </c>
      <c r="I960" s="85">
        <f>Planejamento2024[[#This Row],[Qnt de Itens]]*Planejamento2024[[#This Row],[Valor unitário]]</f>
        <v>12192</v>
      </c>
      <c r="J960" s="83" t="s">
        <v>20</v>
      </c>
      <c r="K960" s="83" t="s">
        <v>478</v>
      </c>
      <c r="L960" s="86">
        <v>45292</v>
      </c>
      <c r="M960" s="83" t="s">
        <v>20</v>
      </c>
      <c r="N960" s="87" t="s">
        <v>1361</v>
      </c>
      <c r="O960" s="83" t="s">
        <v>827</v>
      </c>
    </row>
    <row r="961" spans="1:15" ht="18">
      <c r="A961" s="81">
        <f t="shared" si="14"/>
        <v>960</v>
      </c>
      <c r="B961" s="82" t="s">
        <v>1819</v>
      </c>
      <c r="C961" s="83" t="s">
        <v>34</v>
      </c>
      <c r="D961" s="83" t="s">
        <v>35</v>
      </c>
      <c r="E961" s="84">
        <v>200</v>
      </c>
      <c r="F961" s="85">
        <v>47.36</v>
      </c>
      <c r="G961" s="83" t="s">
        <v>255</v>
      </c>
      <c r="H961" s="83" t="s">
        <v>1360</v>
      </c>
      <c r="I961" s="85">
        <f>Planejamento2024[[#This Row],[Qnt de Itens]]*Planejamento2024[[#This Row],[Valor unitário]]</f>
        <v>9472</v>
      </c>
      <c r="J961" s="83" t="s">
        <v>20</v>
      </c>
      <c r="K961" s="83" t="s">
        <v>478</v>
      </c>
      <c r="L961" s="86">
        <v>45292</v>
      </c>
      <c r="M961" s="83" t="s">
        <v>20</v>
      </c>
      <c r="N961" s="87" t="s">
        <v>1361</v>
      </c>
      <c r="O961" s="83" t="s">
        <v>827</v>
      </c>
    </row>
    <row r="962" spans="1:15" ht="18">
      <c r="A962" s="81">
        <f t="shared" ref="A962:A1025" si="15">ROW(A961)</f>
        <v>961</v>
      </c>
      <c r="B962" s="82" t="s">
        <v>1820</v>
      </c>
      <c r="C962" s="83" t="s">
        <v>34</v>
      </c>
      <c r="D962" s="83" t="s">
        <v>35</v>
      </c>
      <c r="E962" s="84">
        <v>300</v>
      </c>
      <c r="F962" s="85">
        <v>41.84</v>
      </c>
      <c r="G962" s="83" t="s">
        <v>255</v>
      </c>
      <c r="H962" s="83" t="s">
        <v>1360</v>
      </c>
      <c r="I962" s="85">
        <f>Planejamento2024[[#This Row],[Qnt de Itens]]*Planejamento2024[[#This Row],[Valor unitário]]</f>
        <v>12552.000000000002</v>
      </c>
      <c r="J962" s="83" t="s">
        <v>20</v>
      </c>
      <c r="K962" s="83" t="s">
        <v>478</v>
      </c>
      <c r="L962" s="86">
        <v>45292</v>
      </c>
      <c r="M962" s="83" t="s">
        <v>20</v>
      </c>
      <c r="N962" s="87" t="s">
        <v>1361</v>
      </c>
      <c r="O962" s="83" t="s">
        <v>827</v>
      </c>
    </row>
    <row r="963" spans="1:15" ht="81">
      <c r="A963" s="81">
        <f t="shared" si="15"/>
        <v>962</v>
      </c>
      <c r="B963" s="82" t="s">
        <v>1821</v>
      </c>
      <c r="C963" s="83" t="s">
        <v>34</v>
      </c>
      <c r="D963" s="83" t="s">
        <v>35</v>
      </c>
      <c r="E963" s="84">
        <v>100</v>
      </c>
      <c r="F963" s="85">
        <v>302.07</v>
      </c>
      <c r="G963" s="83" t="s">
        <v>885</v>
      </c>
      <c r="H963" s="83" t="s">
        <v>1360</v>
      </c>
      <c r="I963" s="85">
        <f>Planejamento2024[[#This Row],[Qnt de Itens]]*Planejamento2024[[#This Row],[Valor unitário]]</f>
        <v>30207</v>
      </c>
      <c r="J963" s="83" t="s">
        <v>20</v>
      </c>
      <c r="K963" s="83" t="s">
        <v>478</v>
      </c>
      <c r="L963" s="86">
        <v>45292</v>
      </c>
      <c r="M963" s="83" t="s">
        <v>20</v>
      </c>
      <c r="N963" s="87" t="s">
        <v>1361</v>
      </c>
      <c r="O963" s="83" t="s">
        <v>827</v>
      </c>
    </row>
    <row r="964" spans="1:15" ht="18">
      <c r="A964" s="81">
        <f t="shared" si="15"/>
        <v>963</v>
      </c>
      <c r="B964" s="82" t="s">
        <v>1822</v>
      </c>
      <c r="C964" s="83" t="s">
        <v>34</v>
      </c>
      <c r="D964" s="83" t="s">
        <v>35</v>
      </c>
      <c r="E964" s="84">
        <v>50</v>
      </c>
      <c r="F964" s="85">
        <v>56.06</v>
      </c>
      <c r="G964" s="83" t="s">
        <v>885</v>
      </c>
      <c r="H964" s="83" t="s">
        <v>1360</v>
      </c>
      <c r="I964" s="85">
        <f>Planejamento2024[[#This Row],[Qnt de Itens]]*Planejamento2024[[#This Row],[Valor unitário]]</f>
        <v>2803</v>
      </c>
      <c r="J964" s="83" t="s">
        <v>20</v>
      </c>
      <c r="K964" s="83" t="s">
        <v>478</v>
      </c>
      <c r="L964" s="86">
        <v>45292</v>
      </c>
      <c r="M964" s="83" t="s">
        <v>20</v>
      </c>
      <c r="N964" s="87" t="s">
        <v>1361</v>
      </c>
      <c r="O964" s="83" t="s">
        <v>827</v>
      </c>
    </row>
    <row r="965" spans="1:15" ht="72">
      <c r="A965" s="81">
        <f t="shared" si="15"/>
        <v>964</v>
      </c>
      <c r="B965" s="82" t="s">
        <v>1823</v>
      </c>
      <c r="C965" s="83" t="s">
        <v>34</v>
      </c>
      <c r="D965" s="83" t="s">
        <v>35</v>
      </c>
      <c r="E965" s="84">
        <v>100</v>
      </c>
      <c r="F965" s="85">
        <v>245.74</v>
      </c>
      <c r="G965" s="83" t="s">
        <v>885</v>
      </c>
      <c r="H965" s="83" t="s">
        <v>1360</v>
      </c>
      <c r="I965" s="85">
        <f>Planejamento2024[[#This Row],[Qnt de Itens]]*Planejamento2024[[#This Row],[Valor unitário]]</f>
        <v>24574</v>
      </c>
      <c r="J965" s="83" t="s">
        <v>20</v>
      </c>
      <c r="K965" s="83" t="s">
        <v>478</v>
      </c>
      <c r="L965" s="86">
        <v>45292</v>
      </c>
      <c r="M965" s="83" t="s">
        <v>20</v>
      </c>
      <c r="N965" s="87" t="s">
        <v>1361</v>
      </c>
      <c r="O965" s="83" t="s">
        <v>827</v>
      </c>
    </row>
    <row r="966" spans="1:15" ht="72">
      <c r="A966" s="81">
        <f t="shared" si="15"/>
        <v>965</v>
      </c>
      <c r="B966" s="82" t="s">
        <v>1824</v>
      </c>
      <c r="C966" s="83" t="s">
        <v>34</v>
      </c>
      <c r="D966" s="83" t="s">
        <v>35</v>
      </c>
      <c r="E966" s="84">
        <v>100</v>
      </c>
      <c r="F966" s="85">
        <v>467.75</v>
      </c>
      <c r="G966" s="83" t="s">
        <v>885</v>
      </c>
      <c r="H966" s="83" t="s">
        <v>1360</v>
      </c>
      <c r="I966" s="85">
        <f>Planejamento2024[[#This Row],[Qnt de Itens]]*Planejamento2024[[#This Row],[Valor unitário]]</f>
        <v>46775</v>
      </c>
      <c r="J966" s="83" t="s">
        <v>20</v>
      </c>
      <c r="K966" s="83" t="s">
        <v>478</v>
      </c>
      <c r="L966" s="86">
        <v>45292</v>
      </c>
      <c r="M966" s="83" t="s">
        <v>20</v>
      </c>
      <c r="N966" s="87" t="s">
        <v>1361</v>
      </c>
      <c r="O966" s="83" t="s">
        <v>827</v>
      </c>
    </row>
    <row r="967" spans="1:15" ht="72">
      <c r="A967" s="81">
        <f t="shared" si="15"/>
        <v>966</v>
      </c>
      <c r="B967" s="82" t="s">
        <v>1825</v>
      </c>
      <c r="C967" s="83" t="s">
        <v>34</v>
      </c>
      <c r="D967" s="83" t="s">
        <v>35</v>
      </c>
      <c r="E967" s="84">
        <v>100</v>
      </c>
      <c r="F967" s="85">
        <v>422.68</v>
      </c>
      <c r="G967" s="83" t="s">
        <v>885</v>
      </c>
      <c r="H967" s="83" t="s">
        <v>1360</v>
      </c>
      <c r="I967" s="85">
        <f>Planejamento2024[[#This Row],[Qnt de Itens]]*Planejamento2024[[#This Row],[Valor unitário]]</f>
        <v>42268</v>
      </c>
      <c r="J967" s="83" t="s">
        <v>20</v>
      </c>
      <c r="K967" s="83" t="s">
        <v>478</v>
      </c>
      <c r="L967" s="86">
        <v>45292</v>
      </c>
      <c r="M967" s="83" t="s">
        <v>20</v>
      </c>
      <c r="N967" s="87" t="s">
        <v>1361</v>
      </c>
      <c r="O967" s="83" t="s">
        <v>827</v>
      </c>
    </row>
    <row r="968" spans="1:15" ht="99">
      <c r="A968" s="81">
        <f t="shared" si="15"/>
        <v>967</v>
      </c>
      <c r="B968" s="82" t="s">
        <v>1826</v>
      </c>
      <c r="C968" s="83" t="s">
        <v>34</v>
      </c>
      <c r="D968" s="83" t="s">
        <v>35</v>
      </c>
      <c r="E968" s="84">
        <v>100</v>
      </c>
      <c r="F968" s="85">
        <v>583.98</v>
      </c>
      <c r="G968" s="83" t="s">
        <v>885</v>
      </c>
      <c r="H968" s="83" t="s">
        <v>1360</v>
      </c>
      <c r="I968" s="85">
        <f>Planejamento2024[[#This Row],[Qnt de Itens]]*Planejamento2024[[#This Row],[Valor unitário]]</f>
        <v>58398</v>
      </c>
      <c r="J968" s="83" t="s">
        <v>20</v>
      </c>
      <c r="K968" s="83" t="s">
        <v>478</v>
      </c>
      <c r="L968" s="86">
        <v>45292</v>
      </c>
      <c r="M968" s="83" t="s">
        <v>20</v>
      </c>
      <c r="N968" s="87" t="s">
        <v>1361</v>
      </c>
      <c r="O968" s="83" t="s">
        <v>827</v>
      </c>
    </row>
    <row r="969" spans="1:15" ht="99">
      <c r="A969" s="81">
        <f t="shared" si="15"/>
        <v>968</v>
      </c>
      <c r="B969" s="82" t="s">
        <v>1827</v>
      </c>
      <c r="C969" s="83" t="s">
        <v>34</v>
      </c>
      <c r="D969" s="83" t="s">
        <v>35</v>
      </c>
      <c r="E969" s="84">
        <v>100</v>
      </c>
      <c r="F969" s="85">
        <v>75.33</v>
      </c>
      <c r="G969" s="83" t="s">
        <v>885</v>
      </c>
      <c r="H969" s="83" t="s">
        <v>1360</v>
      </c>
      <c r="I969" s="85">
        <f>Planejamento2024[[#This Row],[Qnt de Itens]]*Planejamento2024[[#This Row],[Valor unitário]]</f>
        <v>7533</v>
      </c>
      <c r="J969" s="83" t="s">
        <v>20</v>
      </c>
      <c r="K969" s="83" t="s">
        <v>478</v>
      </c>
      <c r="L969" s="86">
        <v>45292</v>
      </c>
      <c r="M969" s="83" t="s">
        <v>20</v>
      </c>
      <c r="N969" s="87" t="s">
        <v>1361</v>
      </c>
      <c r="O969" s="83" t="s">
        <v>827</v>
      </c>
    </row>
    <row r="970" spans="1:15" ht="99">
      <c r="A970" s="81">
        <f t="shared" si="15"/>
        <v>969</v>
      </c>
      <c r="B970" s="82" t="s">
        <v>1828</v>
      </c>
      <c r="C970" s="83" t="s">
        <v>34</v>
      </c>
      <c r="D970" s="83" t="s">
        <v>35</v>
      </c>
      <c r="E970" s="84">
        <v>500</v>
      </c>
      <c r="F970" s="85">
        <v>105.67</v>
      </c>
      <c r="G970" s="83" t="s">
        <v>885</v>
      </c>
      <c r="H970" s="83" t="s">
        <v>1360</v>
      </c>
      <c r="I970" s="85">
        <f>Planejamento2024[[#This Row],[Qnt de Itens]]*Planejamento2024[[#This Row],[Valor unitário]]</f>
        <v>52835</v>
      </c>
      <c r="J970" s="83" t="s">
        <v>20</v>
      </c>
      <c r="K970" s="83" t="s">
        <v>478</v>
      </c>
      <c r="L970" s="86">
        <v>45292</v>
      </c>
      <c r="M970" s="83" t="s">
        <v>20</v>
      </c>
      <c r="N970" s="87" t="s">
        <v>1361</v>
      </c>
      <c r="O970" s="83" t="s">
        <v>827</v>
      </c>
    </row>
    <row r="971" spans="1:15" ht="99">
      <c r="A971" s="81">
        <f t="shared" si="15"/>
        <v>970</v>
      </c>
      <c r="B971" s="82" t="s">
        <v>1829</v>
      </c>
      <c r="C971" s="83" t="s">
        <v>34</v>
      </c>
      <c r="D971" s="83" t="s">
        <v>35</v>
      </c>
      <c r="E971" s="84">
        <v>100</v>
      </c>
      <c r="F971" s="85">
        <v>84</v>
      </c>
      <c r="G971" s="83" t="s">
        <v>885</v>
      </c>
      <c r="H971" s="83" t="s">
        <v>1360</v>
      </c>
      <c r="I971" s="85">
        <f>Planejamento2024[[#This Row],[Qnt de Itens]]*Planejamento2024[[#This Row],[Valor unitário]]</f>
        <v>8400</v>
      </c>
      <c r="J971" s="83" t="s">
        <v>20</v>
      </c>
      <c r="K971" s="83" t="s">
        <v>478</v>
      </c>
      <c r="L971" s="86">
        <v>45292</v>
      </c>
      <c r="M971" s="83" t="s">
        <v>20</v>
      </c>
      <c r="N971" s="87" t="s">
        <v>1361</v>
      </c>
      <c r="O971" s="83" t="s">
        <v>827</v>
      </c>
    </row>
    <row r="972" spans="1:15" ht="99">
      <c r="A972" s="81">
        <f t="shared" si="15"/>
        <v>971</v>
      </c>
      <c r="B972" s="82" t="s">
        <v>1830</v>
      </c>
      <c r="C972" s="83" t="s">
        <v>34</v>
      </c>
      <c r="D972" s="83" t="s">
        <v>35</v>
      </c>
      <c r="E972" s="84">
        <v>100</v>
      </c>
      <c r="F972" s="85">
        <v>106.33</v>
      </c>
      <c r="G972" s="83" t="s">
        <v>885</v>
      </c>
      <c r="H972" s="83" t="s">
        <v>1360</v>
      </c>
      <c r="I972" s="85">
        <f>Planejamento2024[[#This Row],[Qnt de Itens]]*Planejamento2024[[#This Row],[Valor unitário]]</f>
        <v>10633</v>
      </c>
      <c r="J972" s="83" t="s">
        <v>20</v>
      </c>
      <c r="K972" s="83" t="s">
        <v>478</v>
      </c>
      <c r="L972" s="86">
        <v>45292</v>
      </c>
      <c r="M972" s="83" t="s">
        <v>20</v>
      </c>
      <c r="N972" s="87" t="s">
        <v>1361</v>
      </c>
      <c r="O972" s="83" t="s">
        <v>827</v>
      </c>
    </row>
    <row r="973" spans="1:15" ht="99">
      <c r="A973" s="81">
        <f t="shared" si="15"/>
        <v>972</v>
      </c>
      <c r="B973" s="82" t="s">
        <v>1831</v>
      </c>
      <c r="C973" s="83" t="s">
        <v>34</v>
      </c>
      <c r="D973" s="83" t="s">
        <v>35</v>
      </c>
      <c r="E973" s="84">
        <v>100</v>
      </c>
      <c r="F973" s="85">
        <v>123.95</v>
      </c>
      <c r="G973" s="83" t="s">
        <v>885</v>
      </c>
      <c r="H973" s="83" t="s">
        <v>1360</v>
      </c>
      <c r="I973" s="85">
        <f>Planejamento2024[[#This Row],[Qnt de Itens]]*Planejamento2024[[#This Row],[Valor unitário]]</f>
        <v>12395</v>
      </c>
      <c r="J973" s="83" t="s">
        <v>20</v>
      </c>
      <c r="K973" s="83" t="s">
        <v>478</v>
      </c>
      <c r="L973" s="86">
        <v>45292</v>
      </c>
      <c r="M973" s="83" t="s">
        <v>20</v>
      </c>
      <c r="N973" s="87" t="s">
        <v>1361</v>
      </c>
      <c r="O973" s="83" t="s">
        <v>827</v>
      </c>
    </row>
    <row r="974" spans="1:15" ht="99">
      <c r="A974" s="81">
        <f t="shared" si="15"/>
        <v>973</v>
      </c>
      <c r="B974" s="82" t="s">
        <v>1832</v>
      </c>
      <c r="C974" s="83" t="s">
        <v>34</v>
      </c>
      <c r="D974" s="83" t="s">
        <v>35</v>
      </c>
      <c r="E974" s="84">
        <v>100</v>
      </c>
      <c r="F974" s="85">
        <v>131.47999999999999</v>
      </c>
      <c r="G974" s="83" t="s">
        <v>885</v>
      </c>
      <c r="H974" s="83" t="s">
        <v>1360</v>
      </c>
      <c r="I974" s="85">
        <f>Planejamento2024[[#This Row],[Qnt de Itens]]*Planejamento2024[[#This Row],[Valor unitário]]</f>
        <v>13147.999999999998</v>
      </c>
      <c r="J974" s="83" t="s">
        <v>20</v>
      </c>
      <c r="K974" s="83" t="s">
        <v>478</v>
      </c>
      <c r="L974" s="86">
        <v>45292</v>
      </c>
      <c r="M974" s="83" t="s">
        <v>20</v>
      </c>
      <c r="N974" s="87" t="s">
        <v>1361</v>
      </c>
      <c r="O974" s="83" t="s">
        <v>827</v>
      </c>
    </row>
    <row r="975" spans="1:15" ht="99">
      <c r="A975" s="81">
        <f t="shared" si="15"/>
        <v>974</v>
      </c>
      <c r="B975" s="82" t="s">
        <v>1833</v>
      </c>
      <c r="C975" s="83" t="s">
        <v>34</v>
      </c>
      <c r="D975" s="83" t="s">
        <v>35</v>
      </c>
      <c r="E975" s="84">
        <v>100</v>
      </c>
      <c r="F975" s="85">
        <v>146.32</v>
      </c>
      <c r="G975" s="83" t="s">
        <v>885</v>
      </c>
      <c r="H975" s="83" t="s">
        <v>1360</v>
      </c>
      <c r="I975" s="85">
        <f>Planejamento2024[[#This Row],[Qnt de Itens]]*Planejamento2024[[#This Row],[Valor unitário]]</f>
        <v>14632</v>
      </c>
      <c r="J975" s="83" t="s">
        <v>20</v>
      </c>
      <c r="K975" s="83" t="s">
        <v>478</v>
      </c>
      <c r="L975" s="86">
        <v>45292</v>
      </c>
      <c r="M975" s="83" t="s">
        <v>20</v>
      </c>
      <c r="N975" s="87" t="s">
        <v>1361</v>
      </c>
      <c r="O975" s="83" t="s">
        <v>827</v>
      </c>
    </row>
    <row r="976" spans="1:15" ht="99">
      <c r="A976" s="81">
        <f t="shared" si="15"/>
        <v>975</v>
      </c>
      <c r="B976" s="82" t="s">
        <v>1834</v>
      </c>
      <c r="C976" s="83" t="s">
        <v>34</v>
      </c>
      <c r="D976" s="83" t="s">
        <v>35</v>
      </c>
      <c r="E976" s="84">
        <v>100</v>
      </c>
      <c r="F976" s="85">
        <v>151.28</v>
      </c>
      <c r="G976" s="83" t="s">
        <v>885</v>
      </c>
      <c r="H976" s="83" t="s">
        <v>1360</v>
      </c>
      <c r="I976" s="85">
        <f>Planejamento2024[[#This Row],[Qnt de Itens]]*Planejamento2024[[#This Row],[Valor unitário]]</f>
        <v>15128</v>
      </c>
      <c r="J976" s="83" t="s">
        <v>20</v>
      </c>
      <c r="K976" s="83" t="s">
        <v>478</v>
      </c>
      <c r="L976" s="86">
        <v>45292</v>
      </c>
      <c r="M976" s="83" t="s">
        <v>20</v>
      </c>
      <c r="N976" s="87" t="s">
        <v>1361</v>
      </c>
      <c r="O976" s="83" t="s">
        <v>827</v>
      </c>
    </row>
    <row r="977" spans="1:15" ht="99">
      <c r="A977" s="81">
        <f t="shared" si="15"/>
        <v>976</v>
      </c>
      <c r="B977" s="82" t="s">
        <v>1835</v>
      </c>
      <c r="C977" s="83" t="s">
        <v>34</v>
      </c>
      <c r="D977" s="83" t="s">
        <v>35</v>
      </c>
      <c r="E977" s="84">
        <v>100</v>
      </c>
      <c r="F977" s="85">
        <v>141.97999999999999</v>
      </c>
      <c r="G977" s="83" t="s">
        <v>885</v>
      </c>
      <c r="H977" s="83" t="s">
        <v>1360</v>
      </c>
      <c r="I977" s="85">
        <f>Planejamento2024[[#This Row],[Qnt de Itens]]*Planejamento2024[[#This Row],[Valor unitário]]</f>
        <v>14197.999999999998</v>
      </c>
      <c r="J977" s="83" t="s">
        <v>20</v>
      </c>
      <c r="K977" s="83" t="s">
        <v>478</v>
      </c>
      <c r="L977" s="86">
        <v>45292</v>
      </c>
      <c r="M977" s="83" t="s">
        <v>20</v>
      </c>
      <c r="N977" s="87" t="s">
        <v>1361</v>
      </c>
      <c r="O977" s="83" t="s">
        <v>827</v>
      </c>
    </row>
    <row r="978" spans="1:15" ht="99">
      <c r="A978" s="81">
        <f t="shared" si="15"/>
        <v>977</v>
      </c>
      <c r="B978" s="82" t="s">
        <v>1836</v>
      </c>
      <c r="C978" s="83" t="s">
        <v>34</v>
      </c>
      <c r="D978" s="83" t="s">
        <v>35</v>
      </c>
      <c r="E978" s="84">
        <v>100</v>
      </c>
      <c r="F978" s="85">
        <v>132.32</v>
      </c>
      <c r="G978" s="83" t="s">
        <v>885</v>
      </c>
      <c r="H978" s="83" t="s">
        <v>1360</v>
      </c>
      <c r="I978" s="85">
        <f>Planejamento2024[[#This Row],[Qnt de Itens]]*Planejamento2024[[#This Row],[Valor unitário]]</f>
        <v>13232</v>
      </c>
      <c r="J978" s="83" t="s">
        <v>20</v>
      </c>
      <c r="K978" s="83" t="s">
        <v>478</v>
      </c>
      <c r="L978" s="86">
        <v>45292</v>
      </c>
      <c r="M978" s="83" t="s">
        <v>20</v>
      </c>
      <c r="N978" s="87" t="s">
        <v>1361</v>
      </c>
      <c r="O978" s="83" t="s">
        <v>827</v>
      </c>
    </row>
    <row r="979" spans="1:15" ht="99">
      <c r="A979" s="81">
        <f t="shared" si="15"/>
        <v>978</v>
      </c>
      <c r="B979" s="82" t="s">
        <v>1837</v>
      </c>
      <c r="C979" s="83" t="s">
        <v>34</v>
      </c>
      <c r="D979" s="83" t="s">
        <v>35</v>
      </c>
      <c r="E979" s="84">
        <v>100</v>
      </c>
      <c r="F979" s="85">
        <v>147.26</v>
      </c>
      <c r="G979" s="83" t="s">
        <v>885</v>
      </c>
      <c r="H979" s="83" t="s">
        <v>1360</v>
      </c>
      <c r="I979" s="85">
        <f>Planejamento2024[[#This Row],[Qnt de Itens]]*Planejamento2024[[#This Row],[Valor unitário]]</f>
        <v>14726</v>
      </c>
      <c r="J979" s="83" t="s">
        <v>20</v>
      </c>
      <c r="K979" s="83" t="s">
        <v>478</v>
      </c>
      <c r="L979" s="86">
        <v>45292</v>
      </c>
      <c r="M979" s="83" t="s">
        <v>20</v>
      </c>
      <c r="N979" s="87" t="s">
        <v>1361</v>
      </c>
      <c r="O979" s="83" t="s">
        <v>827</v>
      </c>
    </row>
    <row r="980" spans="1:15" ht="99">
      <c r="A980" s="81">
        <f t="shared" si="15"/>
        <v>979</v>
      </c>
      <c r="B980" s="82" t="s">
        <v>1838</v>
      </c>
      <c r="C980" s="83" t="s">
        <v>34</v>
      </c>
      <c r="D980" s="83" t="s">
        <v>35</v>
      </c>
      <c r="E980" s="84">
        <v>100</v>
      </c>
      <c r="F980" s="85">
        <v>149.22</v>
      </c>
      <c r="G980" s="83" t="s">
        <v>885</v>
      </c>
      <c r="H980" s="83" t="s">
        <v>1360</v>
      </c>
      <c r="I980" s="85">
        <f>Planejamento2024[[#This Row],[Qnt de Itens]]*Planejamento2024[[#This Row],[Valor unitário]]</f>
        <v>14922</v>
      </c>
      <c r="J980" s="83" t="s">
        <v>20</v>
      </c>
      <c r="K980" s="83" t="s">
        <v>478</v>
      </c>
      <c r="L980" s="86">
        <v>45292</v>
      </c>
      <c r="M980" s="83" t="s">
        <v>20</v>
      </c>
      <c r="N980" s="87" t="s">
        <v>1361</v>
      </c>
      <c r="O980" s="83" t="s">
        <v>827</v>
      </c>
    </row>
    <row r="981" spans="1:15" ht="18">
      <c r="A981" s="81">
        <f t="shared" si="15"/>
        <v>980</v>
      </c>
      <c r="B981" s="82" t="s">
        <v>1839</v>
      </c>
      <c r="C981" s="83" t="s">
        <v>34</v>
      </c>
      <c r="D981" s="83" t="s">
        <v>35</v>
      </c>
      <c r="E981" s="84">
        <v>500</v>
      </c>
      <c r="F981" s="85">
        <v>0.61</v>
      </c>
      <c r="G981" s="83" t="s">
        <v>885</v>
      </c>
      <c r="H981" s="83" t="s">
        <v>1360</v>
      </c>
      <c r="I981" s="85">
        <f>Planejamento2024[[#This Row],[Qnt de Itens]]*Planejamento2024[[#This Row],[Valor unitário]]</f>
        <v>305</v>
      </c>
      <c r="J981" s="83" t="s">
        <v>20</v>
      </c>
      <c r="K981" s="83" t="s">
        <v>478</v>
      </c>
      <c r="L981" s="86">
        <v>45292</v>
      </c>
      <c r="M981" s="83" t="s">
        <v>20</v>
      </c>
      <c r="N981" s="87" t="s">
        <v>1361</v>
      </c>
      <c r="O981" s="83" t="s">
        <v>827</v>
      </c>
    </row>
    <row r="982" spans="1:15" ht="18">
      <c r="A982" s="81">
        <f t="shared" si="15"/>
        <v>981</v>
      </c>
      <c r="B982" s="82" t="s">
        <v>1840</v>
      </c>
      <c r="C982" s="83" t="s">
        <v>34</v>
      </c>
      <c r="D982" s="83" t="s">
        <v>35</v>
      </c>
      <c r="E982" s="84">
        <v>500</v>
      </c>
      <c r="F982" s="85">
        <v>0.57999999999999996</v>
      </c>
      <c r="G982" s="83" t="s">
        <v>885</v>
      </c>
      <c r="H982" s="83" t="s">
        <v>1360</v>
      </c>
      <c r="I982" s="85">
        <f>Planejamento2024[[#This Row],[Qnt de Itens]]*Planejamento2024[[#This Row],[Valor unitário]]</f>
        <v>290</v>
      </c>
      <c r="J982" s="83" t="s">
        <v>20</v>
      </c>
      <c r="K982" s="83" t="s">
        <v>478</v>
      </c>
      <c r="L982" s="86">
        <v>45292</v>
      </c>
      <c r="M982" s="83" t="s">
        <v>20</v>
      </c>
      <c r="N982" s="87" t="s">
        <v>1361</v>
      </c>
      <c r="O982" s="83" t="s">
        <v>827</v>
      </c>
    </row>
    <row r="983" spans="1:15" ht="63">
      <c r="A983" s="81">
        <f t="shared" si="15"/>
        <v>982</v>
      </c>
      <c r="B983" s="82" t="s">
        <v>1841</v>
      </c>
      <c r="C983" s="83" t="s">
        <v>34</v>
      </c>
      <c r="D983" s="83" t="s">
        <v>35</v>
      </c>
      <c r="E983" s="84">
        <v>300</v>
      </c>
      <c r="F983" s="85">
        <v>37.89</v>
      </c>
      <c r="G983" s="83" t="s">
        <v>885</v>
      </c>
      <c r="H983" s="83" t="s">
        <v>1360</v>
      </c>
      <c r="I983" s="85">
        <f>Planejamento2024[[#This Row],[Qnt de Itens]]*Planejamento2024[[#This Row],[Valor unitário]]</f>
        <v>11367</v>
      </c>
      <c r="J983" s="83" t="s">
        <v>20</v>
      </c>
      <c r="K983" s="83" t="s">
        <v>478</v>
      </c>
      <c r="L983" s="86">
        <v>45292</v>
      </c>
      <c r="M983" s="83" t="s">
        <v>20</v>
      </c>
      <c r="N983" s="87" t="s">
        <v>1361</v>
      </c>
      <c r="O983" s="83" t="s">
        <v>827</v>
      </c>
    </row>
    <row r="984" spans="1:15" ht="63">
      <c r="A984" s="81">
        <f t="shared" si="15"/>
        <v>983</v>
      </c>
      <c r="B984" s="82" t="s">
        <v>1842</v>
      </c>
      <c r="C984" s="83" t="s">
        <v>34</v>
      </c>
      <c r="D984" s="83" t="s">
        <v>35</v>
      </c>
      <c r="E984" s="84">
        <v>300</v>
      </c>
      <c r="F984" s="85">
        <v>52.15</v>
      </c>
      <c r="G984" s="83" t="s">
        <v>885</v>
      </c>
      <c r="H984" s="83" t="s">
        <v>1360</v>
      </c>
      <c r="I984" s="85">
        <f>Planejamento2024[[#This Row],[Qnt de Itens]]*Planejamento2024[[#This Row],[Valor unitário]]</f>
        <v>15645</v>
      </c>
      <c r="J984" s="83" t="s">
        <v>20</v>
      </c>
      <c r="K984" s="83" t="s">
        <v>478</v>
      </c>
      <c r="L984" s="86">
        <v>45292</v>
      </c>
      <c r="M984" s="83" t="s">
        <v>20</v>
      </c>
      <c r="N984" s="87" t="s">
        <v>1361</v>
      </c>
      <c r="O984" s="83" t="s">
        <v>827</v>
      </c>
    </row>
    <row r="985" spans="1:15" ht="18">
      <c r="A985" s="81">
        <f t="shared" si="15"/>
        <v>984</v>
      </c>
      <c r="B985" s="82" t="s">
        <v>1843</v>
      </c>
      <c r="C985" s="83" t="s">
        <v>34</v>
      </c>
      <c r="D985" s="83" t="s">
        <v>35</v>
      </c>
      <c r="E985" s="84">
        <v>300</v>
      </c>
      <c r="F985" s="85">
        <v>9.0299999999999994</v>
      </c>
      <c r="G985" s="83" t="s">
        <v>885</v>
      </c>
      <c r="H985" s="83" t="s">
        <v>1360</v>
      </c>
      <c r="I985" s="85">
        <f>Planejamento2024[[#This Row],[Qnt de Itens]]*Planejamento2024[[#This Row],[Valor unitário]]</f>
        <v>2709</v>
      </c>
      <c r="J985" s="83" t="s">
        <v>20</v>
      </c>
      <c r="K985" s="83" t="s">
        <v>478</v>
      </c>
      <c r="L985" s="86">
        <v>45292</v>
      </c>
      <c r="M985" s="83" t="s">
        <v>20</v>
      </c>
      <c r="N985" s="87" t="s">
        <v>1361</v>
      </c>
      <c r="O985" s="83" t="s">
        <v>827</v>
      </c>
    </row>
    <row r="986" spans="1:15" ht="18">
      <c r="A986" s="81">
        <f t="shared" si="15"/>
        <v>985</v>
      </c>
      <c r="B986" s="82" t="s">
        <v>1844</v>
      </c>
      <c r="C986" s="83" t="s">
        <v>34</v>
      </c>
      <c r="D986" s="83" t="s">
        <v>35</v>
      </c>
      <c r="E986" s="84">
        <v>200</v>
      </c>
      <c r="F986" s="85">
        <v>7.94</v>
      </c>
      <c r="G986" s="83" t="s">
        <v>885</v>
      </c>
      <c r="H986" s="83" t="s">
        <v>1360</v>
      </c>
      <c r="I986" s="85">
        <f>Planejamento2024[[#This Row],[Qnt de Itens]]*Planejamento2024[[#This Row],[Valor unitário]]</f>
        <v>1588</v>
      </c>
      <c r="J986" s="83" t="s">
        <v>20</v>
      </c>
      <c r="K986" s="83" t="s">
        <v>478</v>
      </c>
      <c r="L986" s="86">
        <v>45292</v>
      </c>
      <c r="M986" s="83" t="s">
        <v>20</v>
      </c>
      <c r="N986" s="87" t="s">
        <v>1361</v>
      </c>
      <c r="O986" s="83" t="s">
        <v>827</v>
      </c>
    </row>
    <row r="987" spans="1:15" ht="27">
      <c r="A987" s="81">
        <f t="shared" si="15"/>
        <v>986</v>
      </c>
      <c r="B987" s="82" t="s">
        <v>1845</v>
      </c>
      <c r="C987" s="83" t="s">
        <v>34</v>
      </c>
      <c r="D987" s="83" t="s">
        <v>35</v>
      </c>
      <c r="E987" s="84">
        <v>200</v>
      </c>
      <c r="F987" s="85">
        <v>86.05</v>
      </c>
      <c r="G987" s="83" t="s">
        <v>885</v>
      </c>
      <c r="H987" s="83" t="s">
        <v>1360</v>
      </c>
      <c r="I987" s="85">
        <f>Planejamento2024[[#This Row],[Qnt de Itens]]*Planejamento2024[[#This Row],[Valor unitário]]</f>
        <v>17210</v>
      </c>
      <c r="J987" s="83" t="s">
        <v>20</v>
      </c>
      <c r="K987" s="83" t="s">
        <v>478</v>
      </c>
      <c r="L987" s="86">
        <v>45292</v>
      </c>
      <c r="M987" s="83" t="s">
        <v>20</v>
      </c>
      <c r="N987" s="87" t="s">
        <v>1361</v>
      </c>
      <c r="O987" s="83" t="s">
        <v>827</v>
      </c>
    </row>
    <row r="988" spans="1:15" ht="27">
      <c r="A988" s="81">
        <f t="shared" si="15"/>
        <v>987</v>
      </c>
      <c r="B988" s="82" t="s">
        <v>1846</v>
      </c>
      <c r="C988" s="83" t="s">
        <v>34</v>
      </c>
      <c r="D988" s="83" t="s">
        <v>35</v>
      </c>
      <c r="E988" s="84">
        <v>200</v>
      </c>
      <c r="F988" s="85">
        <v>40.17</v>
      </c>
      <c r="G988" s="83" t="s">
        <v>885</v>
      </c>
      <c r="H988" s="83" t="s">
        <v>1360</v>
      </c>
      <c r="I988" s="85">
        <f>Planejamento2024[[#This Row],[Qnt de Itens]]*Planejamento2024[[#This Row],[Valor unitário]]</f>
        <v>8034</v>
      </c>
      <c r="J988" s="83" t="s">
        <v>20</v>
      </c>
      <c r="K988" s="83" t="s">
        <v>478</v>
      </c>
      <c r="L988" s="86">
        <v>45292</v>
      </c>
      <c r="M988" s="83" t="s">
        <v>20</v>
      </c>
      <c r="N988" s="87" t="s">
        <v>1361</v>
      </c>
      <c r="O988" s="83" t="s">
        <v>827</v>
      </c>
    </row>
    <row r="989" spans="1:15" ht="27">
      <c r="A989" s="81">
        <f t="shared" si="15"/>
        <v>988</v>
      </c>
      <c r="B989" s="82" t="s">
        <v>1847</v>
      </c>
      <c r="C989" s="83" t="s">
        <v>34</v>
      </c>
      <c r="D989" s="83" t="s">
        <v>35</v>
      </c>
      <c r="E989" s="84">
        <v>300</v>
      </c>
      <c r="F989" s="85">
        <v>103.48</v>
      </c>
      <c r="G989" s="83" t="s">
        <v>885</v>
      </c>
      <c r="H989" s="83" t="s">
        <v>1360</v>
      </c>
      <c r="I989" s="85">
        <f>Planejamento2024[[#This Row],[Qnt de Itens]]*Planejamento2024[[#This Row],[Valor unitário]]</f>
        <v>31044</v>
      </c>
      <c r="J989" s="83" t="s">
        <v>20</v>
      </c>
      <c r="K989" s="83" t="s">
        <v>478</v>
      </c>
      <c r="L989" s="86">
        <v>45292</v>
      </c>
      <c r="M989" s="83" t="s">
        <v>20</v>
      </c>
      <c r="N989" s="87" t="s">
        <v>1361</v>
      </c>
      <c r="O989" s="83" t="s">
        <v>827</v>
      </c>
    </row>
    <row r="990" spans="1:15" ht="18">
      <c r="A990" s="81">
        <f t="shared" si="15"/>
        <v>989</v>
      </c>
      <c r="B990" s="82" t="s">
        <v>1848</v>
      </c>
      <c r="C990" s="83" t="s">
        <v>34</v>
      </c>
      <c r="D990" s="83" t="s">
        <v>35</v>
      </c>
      <c r="E990" s="84">
        <v>900</v>
      </c>
      <c r="F990" s="85">
        <v>12.05</v>
      </c>
      <c r="G990" s="83" t="s">
        <v>885</v>
      </c>
      <c r="H990" s="83" t="s">
        <v>1360</v>
      </c>
      <c r="I990" s="85">
        <f>Planejamento2024[[#This Row],[Qnt de Itens]]*Planejamento2024[[#This Row],[Valor unitário]]</f>
        <v>10845</v>
      </c>
      <c r="J990" s="83" t="s">
        <v>20</v>
      </c>
      <c r="K990" s="83" t="s">
        <v>478</v>
      </c>
      <c r="L990" s="86">
        <v>45292</v>
      </c>
      <c r="M990" s="83" t="s">
        <v>20</v>
      </c>
      <c r="N990" s="87" t="s">
        <v>1361</v>
      </c>
      <c r="O990" s="83" t="s">
        <v>827</v>
      </c>
    </row>
    <row r="991" spans="1:15" ht="54">
      <c r="A991" s="81">
        <f t="shared" si="15"/>
        <v>990</v>
      </c>
      <c r="B991" s="82" t="s">
        <v>1849</v>
      </c>
      <c r="C991" s="83" t="s">
        <v>34</v>
      </c>
      <c r="D991" s="83" t="s">
        <v>35</v>
      </c>
      <c r="E991" s="84">
        <v>300</v>
      </c>
      <c r="F991" s="85">
        <v>79.92</v>
      </c>
      <c r="G991" s="83" t="s">
        <v>885</v>
      </c>
      <c r="H991" s="83" t="s">
        <v>1360</v>
      </c>
      <c r="I991" s="85">
        <f>Planejamento2024[[#This Row],[Qnt de Itens]]*Planejamento2024[[#This Row],[Valor unitário]]</f>
        <v>23976</v>
      </c>
      <c r="J991" s="83" t="s">
        <v>20</v>
      </c>
      <c r="K991" s="83" t="s">
        <v>478</v>
      </c>
      <c r="L991" s="86">
        <v>45292</v>
      </c>
      <c r="M991" s="83" t="s">
        <v>20</v>
      </c>
      <c r="N991" s="87" t="s">
        <v>1361</v>
      </c>
      <c r="O991" s="83" t="s">
        <v>827</v>
      </c>
    </row>
    <row r="992" spans="1:15" ht="36">
      <c r="A992" s="81">
        <f t="shared" si="15"/>
        <v>991</v>
      </c>
      <c r="B992" s="82" t="s">
        <v>1850</v>
      </c>
      <c r="C992" s="83" t="s">
        <v>34</v>
      </c>
      <c r="D992" s="83" t="s">
        <v>35</v>
      </c>
      <c r="E992" s="84">
        <v>300</v>
      </c>
      <c r="F992" s="85">
        <v>206.25</v>
      </c>
      <c r="G992" s="83" t="s">
        <v>885</v>
      </c>
      <c r="H992" s="83" t="s">
        <v>1360</v>
      </c>
      <c r="I992" s="85">
        <f>Planejamento2024[[#This Row],[Qnt de Itens]]*Planejamento2024[[#This Row],[Valor unitário]]</f>
        <v>61875</v>
      </c>
      <c r="J992" s="83" t="s">
        <v>20</v>
      </c>
      <c r="K992" s="83" t="s">
        <v>478</v>
      </c>
      <c r="L992" s="86">
        <v>45292</v>
      </c>
      <c r="M992" s="83" t="s">
        <v>20</v>
      </c>
      <c r="N992" s="87" t="s">
        <v>1361</v>
      </c>
      <c r="O992" s="83" t="s">
        <v>827</v>
      </c>
    </row>
    <row r="993" spans="1:15" ht="36">
      <c r="A993" s="81">
        <f t="shared" si="15"/>
        <v>992</v>
      </c>
      <c r="B993" s="82" t="s">
        <v>1851</v>
      </c>
      <c r="C993" s="83" t="s">
        <v>34</v>
      </c>
      <c r="D993" s="83" t="s">
        <v>35</v>
      </c>
      <c r="E993" s="84">
        <v>200</v>
      </c>
      <c r="F993" s="85">
        <v>106.83</v>
      </c>
      <c r="G993" s="83" t="s">
        <v>885</v>
      </c>
      <c r="H993" s="83" t="s">
        <v>1360</v>
      </c>
      <c r="I993" s="85">
        <f>Planejamento2024[[#This Row],[Qnt de Itens]]*Planejamento2024[[#This Row],[Valor unitário]]</f>
        <v>21366</v>
      </c>
      <c r="J993" s="83" t="s">
        <v>20</v>
      </c>
      <c r="K993" s="83" t="s">
        <v>478</v>
      </c>
      <c r="L993" s="86">
        <v>45292</v>
      </c>
      <c r="M993" s="83" t="s">
        <v>20</v>
      </c>
      <c r="N993" s="87" t="s">
        <v>1361</v>
      </c>
      <c r="O993" s="83" t="s">
        <v>827</v>
      </c>
    </row>
    <row r="994" spans="1:15" ht="36">
      <c r="A994" s="81">
        <f t="shared" si="15"/>
        <v>993</v>
      </c>
      <c r="B994" s="82" t="s">
        <v>1852</v>
      </c>
      <c r="C994" s="83" t="s">
        <v>34</v>
      </c>
      <c r="D994" s="83" t="s">
        <v>35</v>
      </c>
      <c r="E994" s="84">
        <v>200</v>
      </c>
      <c r="F994" s="85">
        <v>116.33</v>
      </c>
      <c r="G994" s="83" t="s">
        <v>885</v>
      </c>
      <c r="H994" s="83" t="s">
        <v>1360</v>
      </c>
      <c r="I994" s="85">
        <f>Planejamento2024[[#This Row],[Qnt de Itens]]*Planejamento2024[[#This Row],[Valor unitário]]</f>
        <v>23266</v>
      </c>
      <c r="J994" s="83" t="s">
        <v>20</v>
      </c>
      <c r="K994" s="83" t="s">
        <v>478</v>
      </c>
      <c r="L994" s="86">
        <v>45292</v>
      </c>
      <c r="M994" s="83" t="s">
        <v>20</v>
      </c>
      <c r="N994" s="87" t="s">
        <v>1361</v>
      </c>
      <c r="O994" s="83" t="s">
        <v>827</v>
      </c>
    </row>
    <row r="995" spans="1:15" ht="36">
      <c r="A995" s="81">
        <f t="shared" si="15"/>
        <v>994</v>
      </c>
      <c r="B995" s="82" t="s">
        <v>1853</v>
      </c>
      <c r="C995" s="83" t="s">
        <v>34</v>
      </c>
      <c r="D995" s="83" t="s">
        <v>35</v>
      </c>
      <c r="E995" s="84">
        <v>300</v>
      </c>
      <c r="F995" s="85">
        <v>99.73</v>
      </c>
      <c r="G995" s="83" t="s">
        <v>885</v>
      </c>
      <c r="H995" s="83" t="s">
        <v>1360</v>
      </c>
      <c r="I995" s="85">
        <f>Planejamento2024[[#This Row],[Qnt de Itens]]*Planejamento2024[[#This Row],[Valor unitário]]</f>
        <v>29919</v>
      </c>
      <c r="J995" s="83" t="s">
        <v>20</v>
      </c>
      <c r="K995" s="83" t="s">
        <v>478</v>
      </c>
      <c r="L995" s="86">
        <v>45292</v>
      </c>
      <c r="M995" s="83" t="s">
        <v>20</v>
      </c>
      <c r="N995" s="87" t="s">
        <v>1361</v>
      </c>
      <c r="O995" s="83" t="s">
        <v>827</v>
      </c>
    </row>
    <row r="996" spans="1:15" ht="36">
      <c r="A996" s="81">
        <f t="shared" si="15"/>
        <v>995</v>
      </c>
      <c r="B996" s="82" t="s">
        <v>1854</v>
      </c>
      <c r="C996" s="83" t="s">
        <v>34</v>
      </c>
      <c r="D996" s="83" t="s">
        <v>35</v>
      </c>
      <c r="E996" s="84">
        <v>300</v>
      </c>
      <c r="F996" s="85">
        <v>100.33</v>
      </c>
      <c r="G996" s="83" t="s">
        <v>885</v>
      </c>
      <c r="H996" s="83" t="s">
        <v>1360</v>
      </c>
      <c r="I996" s="85">
        <f>Planejamento2024[[#This Row],[Qnt de Itens]]*Planejamento2024[[#This Row],[Valor unitário]]</f>
        <v>30099</v>
      </c>
      <c r="J996" s="83" t="s">
        <v>20</v>
      </c>
      <c r="K996" s="83" t="s">
        <v>478</v>
      </c>
      <c r="L996" s="86">
        <v>45292</v>
      </c>
      <c r="M996" s="83" t="s">
        <v>20</v>
      </c>
      <c r="N996" s="87" t="s">
        <v>1361</v>
      </c>
      <c r="O996" s="83" t="s">
        <v>827</v>
      </c>
    </row>
    <row r="997" spans="1:15" ht="27">
      <c r="A997" s="81">
        <f t="shared" si="15"/>
        <v>996</v>
      </c>
      <c r="B997" s="82" t="s">
        <v>1855</v>
      </c>
      <c r="C997" s="83" t="s">
        <v>34</v>
      </c>
      <c r="D997" s="83" t="s">
        <v>35</v>
      </c>
      <c r="E997" s="84">
        <v>300</v>
      </c>
      <c r="F997" s="85">
        <v>118.91</v>
      </c>
      <c r="G997" s="83" t="s">
        <v>885</v>
      </c>
      <c r="H997" s="83" t="s">
        <v>1360</v>
      </c>
      <c r="I997" s="85">
        <f>Planejamento2024[[#This Row],[Qnt de Itens]]*Planejamento2024[[#This Row],[Valor unitário]]</f>
        <v>35673</v>
      </c>
      <c r="J997" s="83" t="s">
        <v>20</v>
      </c>
      <c r="K997" s="83" t="s">
        <v>478</v>
      </c>
      <c r="L997" s="86">
        <v>45292</v>
      </c>
      <c r="M997" s="83" t="s">
        <v>20</v>
      </c>
      <c r="N997" s="87" t="s">
        <v>1361</v>
      </c>
      <c r="O997" s="83" t="s">
        <v>827</v>
      </c>
    </row>
    <row r="998" spans="1:15" ht="36">
      <c r="A998" s="81">
        <f t="shared" si="15"/>
        <v>997</v>
      </c>
      <c r="B998" s="82" t="s">
        <v>1856</v>
      </c>
      <c r="C998" s="83" t="s">
        <v>34</v>
      </c>
      <c r="D998" s="83" t="s">
        <v>35</v>
      </c>
      <c r="E998" s="84">
        <v>400</v>
      </c>
      <c r="F998" s="85">
        <v>43.79</v>
      </c>
      <c r="G998" s="83" t="s">
        <v>885</v>
      </c>
      <c r="H998" s="83" t="s">
        <v>1360</v>
      </c>
      <c r="I998" s="85">
        <f>Planejamento2024[[#This Row],[Qnt de Itens]]*Planejamento2024[[#This Row],[Valor unitário]]</f>
        <v>17516</v>
      </c>
      <c r="J998" s="83" t="s">
        <v>20</v>
      </c>
      <c r="K998" s="83" t="s">
        <v>478</v>
      </c>
      <c r="L998" s="86">
        <v>45292</v>
      </c>
      <c r="M998" s="83" t="s">
        <v>20</v>
      </c>
      <c r="N998" s="87" t="s">
        <v>1361</v>
      </c>
      <c r="O998" s="83" t="s">
        <v>827</v>
      </c>
    </row>
    <row r="999" spans="1:15" ht="27">
      <c r="A999" s="81">
        <f t="shared" si="15"/>
        <v>998</v>
      </c>
      <c r="B999" s="82" t="s">
        <v>1857</v>
      </c>
      <c r="C999" s="83" t="s">
        <v>34</v>
      </c>
      <c r="D999" s="83" t="s">
        <v>35</v>
      </c>
      <c r="E999" s="84">
        <v>500</v>
      </c>
      <c r="F999" s="85">
        <v>14.85</v>
      </c>
      <c r="G999" s="83" t="s">
        <v>1496</v>
      </c>
      <c r="H999" s="83" t="s">
        <v>1360</v>
      </c>
      <c r="I999" s="85">
        <f>Planejamento2024[[#This Row],[Qnt de Itens]]*Planejamento2024[[#This Row],[Valor unitário]]</f>
        <v>7425</v>
      </c>
      <c r="J999" s="83" t="s">
        <v>20</v>
      </c>
      <c r="K999" s="83" t="s">
        <v>478</v>
      </c>
      <c r="L999" s="86">
        <v>45292</v>
      </c>
      <c r="M999" s="83" t="s">
        <v>20</v>
      </c>
      <c r="N999" s="87" t="s">
        <v>1361</v>
      </c>
      <c r="O999" s="83" t="s">
        <v>827</v>
      </c>
    </row>
    <row r="1000" spans="1:15" ht="27">
      <c r="A1000" s="81">
        <f t="shared" si="15"/>
        <v>999</v>
      </c>
      <c r="B1000" s="82" t="s">
        <v>1858</v>
      </c>
      <c r="C1000" s="83" t="s">
        <v>34</v>
      </c>
      <c r="D1000" s="83" t="s">
        <v>35</v>
      </c>
      <c r="E1000" s="84">
        <v>400</v>
      </c>
      <c r="F1000" s="85">
        <v>6.99</v>
      </c>
      <c r="G1000" s="83" t="s">
        <v>885</v>
      </c>
      <c r="H1000" s="83" t="s">
        <v>1360</v>
      </c>
      <c r="I1000" s="85">
        <f>Planejamento2024[[#This Row],[Qnt de Itens]]*Planejamento2024[[#This Row],[Valor unitário]]</f>
        <v>2796</v>
      </c>
      <c r="J1000" s="83" t="s">
        <v>20</v>
      </c>
      <c r="K1000" s="83" t="s">
        <v>478</v>
      </c>
      <c r="L1000" s="86">
        <v>45292</v>
      </c>
      <c r="M1000" s="83" t="s">
        <v>20</v>
      </c>
      <c r="N1000" s="87" t="s">
        <v>1361</v>
      </c>
      <c r="O1000" s="83" t="s">
        <v>827</v>
      </c>
    </row>
    <row r="1001" spans="1:15" ht="27">
      <c r="A1001" s="81">
        <f t="shared" si="15"/>
        <v>1000</v>
      </c>
      <c r="B1001" s="82" t="s">
        <v>1859</v>
      </c>
      <c r="C1001" s="83" t="s">
        <v>34</v>
      </c>
      <c r="D1001" s="83" t="s">
        <v>35</v>
      </c>
      <c r="E1001" s="84">
        <v>300</v>
      </c>
      <c r="F1001" s="85">
        <v>10.62</v>
      </c>
      <c r="G1001" s="83" t="s">
        <v>885</v>
      </c>
      <c r="H1001" s="83" t="s">
        <v>1360</v>
      </c>
      <c r="I1001" s="85">
        <f>Planejamento2024[[#This Row],[Qnt de Itens]]*Planejamento2024[[#This Row],[Valor unitário]]</f>
        <v>3185.9999999999995</v>
      </c>
      <c r="J1001" s="83" t="s">
        <v>20</v>
      </c>
      <c r="K1001" s="83" t="s">
        <v>478</v>
      </c>
      <c r="L1001" s="86">
        <v>45292</v>
      </c>
      <c r="M1001" s="83" t="s">
        <v>20</v>
      </c>
      <c r="N1001" s="87" t="s">
        <v>1361</v>
      </c>
      <c r="O1001" s="83" t="s">
        <v>827</v>
      </c>
    </row>
    <row r="1002" spans="1:15" ht="18">
      <c r="A1002" s="81">
        <f t="shared" si="15"/>
        <v>1001</v>
      </c>
      <c r="B1002" s="82" t="s">
        <v>1860</v>
      </c>
      <c r="C1002" s="83" t="s">
        <v>34</v>
      </c>
      <c r="D1002" s="83" t="s">
        <v>35</v>
      </c>
      <c r="E1002" s="84">
        <v>300</v>
      </c>
      <c r="F1002" s="85">
        <v>11.94</v>
      </c>
      <c r="G1002" s="83" t="s">
        <v>885</v>
      </c>
      <c r="H1002" s="83" t="s">
        <v>1360</v>
      </c>
      <c r="I1002" s="85">
        <f>Planejamento2024[[#This Row],[Qnt de Itens]]*Planejamento2024[[#This Row],[Valor unitário]]</f>
        <v>3582</v>
      </c>
      <c r="J1002" s="83" t="s">
        <v>20</v>
      </c>
      <c r="K1002" s="83" t="s">
        <v>478</v>
      </c>
      <c r="L1002" s="86">
        <v>45292</v>
      </c>
      <c r="M1002" s="83" t="s">
        <v>20</v>
      </c>
      <c r="N1002" s="87" t="s">
        <v>1361</v>
      </c>
      <c r="O1002" s="83" t="s">
        <v>827</v>
      </c>
    </row>
    <row r="1003" spans="1:15" ht="18">
      <c r="A1003" s="81">
        <f t="shared" si="15"/>
        <v>1002</v>
      </c>
      <c r="B1003" s="82" t="s">
        <v>1861</v>
      </c>
      <c r="C1003" s="83" t="s">
        <v>34</v>
      </c>
      <c r="D1003" s="83" t="s">
        <v>35</v>
      </c>
      <c r="E1003" s="84">
        <v>400</v>
      </c>
      <c r="F1003" s="85">
        <v>16.010000000000002</v>
      </c>
      <c r="G1003" s="83" t="s">
        <v>885</v>
      </c>
      <c r="H1003" s="83" t="s">
        <v>1360</v>
      </c>
      <c r="I1003" s="85">
        <f>Planejamento2024[[#This Row],[Qnt de Itens]]*Planejamento2024[[#This Row],[Valor unitário]]</f>
        <v>6404.0000000000009</v>
      </c>
      <c r="J1003" s="83" t="s">
        <v>20</v>
      </c>
      <c r="K1003" s="83" t="s">
        <v>478</v>
      </c>
      <c r="L1003" s="86">
        <v>45292</v>
      </c>
      <c r="M1003" s="83" t="s">
        <v>20</v>
      </c>
      <c r="N1003" s="87" t="s">
        <v>1361</v>
      </c>
      <c r="O1003" s="83" t="s">
        <v>827</v>
      </c>
    </row>
    <row r="1004" spans="1:15" ht="27">
      <c r="A1004" s="81">
        <f t="shared" si="15"/>
        <v>1003</v>
      </c>
      <c r="B1004" s="82" t="s">
        <v>1862</v>
      </c>
      <c r="C1004" s="83" t="s">
        <v>34</v>
      </c>
      <c r="D1004" s="83" t="s">
        <v>35</v>
      </c>
      <c r="E1004" s="84">
        <v>200</v>
      </c>
      <c r="F1004" s="85">
        <v>20.03</v>
      </c>
      <c r="G1004" s="83" t="s">
        <v>885</v>
      </c>
      <c r="H1004" s="83" t="s">
        <v>1360</v>
      </c>
      <c r="I1004" s="85">
        <f>Planejamento2024[[#This Row],[Qnt de Itens]]*Planejamento2024[[#This Row],[Valor unitário]]</f>
        <v>4006</v>
      </c>
      <c r="J1004" s="83" t="s">
        <v>20</v>
      </c>
      <c r="K1004" s="83" t="s">
        <v>478</v>
      </c>
      <c r="L1004" s="86">
        <v>45292</v>
      </c>
      <c r="M1004" s="83" t="s">
        <v>20</v>
      </c>
      <c r="N1004" s="87" t="s">
        <v>1361</v>
      </c>
      <c r="O1004" s="83" t="s">
        <v>827</v>
      </c>
    </row>
    <row r="1005" spans="1:15" ht="18">
      <c r="A1005" s="81">
        <f t="shared" si="15"/>
        <v>1004</v>
      </c>
      <c r="B1005" s="82" t="s">
        <v>1863</v>
      </c>
      <c r="C1005" s="83" t="s">
        <v>34</v>
      </c>
      <c r="D1005" s="83" t="s">
        <v>35</v>
      </c>
      <c r="E1005" s="84">
        <v>300</v>
      </c>
      <c r="F1005" s="85">
        <v>19.14</v>
      </c>
      <c r="G1005" s="83" t="s">
        <v>885</v>
      </c>
      <c r="H1005" s="83" t="s">
        <v>1360</v>
      </c>
      <c r="I1005" s="85">
        <f>Planejamento2024[[#This Row],[Qnt de Itens]]*Planejamento2024[[#This Row],[Valor unitário]]</f>
        <v>5742</v>
      </c>
      <c r="J1005" s="83" t="s">
        <v>20</v>
      </c>
      <c r="K1005" s="83" t="s">
        <v>478</v>
      </c>
      <c r="L1005" s="86">
        <v>45292</v>
      </c>
      <c r="M1005" s="83" t="s">
        <v>20</v>
      </c>
      <c r="N1005" s="87" t="s">
        <v>1361</v>
      </c>
      <c r="O1005" s="83" t="s">
        <v>827</v>
      </c>
    </row>
    <row r="1006" spans="1:15" ht="18">
      <c r="A1006" s="81">
        <f t="shared" si="15"/>
        <v>1005</v>
      </c>
      <c r="B1006" s="82" t="s">
        <v>1864</v>
      </c>
      <c r="C1006" s="83" t="s">
        <v>34</v>
      </c>
      <c r="D1006" s="83" t="s">
        <v>35</v>
      </c>
      <c r="E1006" s="84">
        <v>400</v>
      </c>
      <c r="F1006" s="85">
        <v>40.21</v>
      </c>
      <c r="G1006" s="83" t="s">
        <v>885</v>
      </c>
      <c r="H1006" s="83" t="s">
        <v>1360</v>
      </c>
      <c r="I1006" s="85">
        <f>Planejamento2024[[#This Row],[Qnt de Itens]]*Planejamento2024[[#This Row],[Valor unitário]]</f>
        <v>16084</v>
      </c>
      <c r="J1006" s="83" t="s">
        <v>20</v>
      </c>
      <c r="K1006" s="83" t="s">
        <v>478</v>
      </c>
      <c r="L1006" s="86">
        <v>45292</v>
      </c>
      <c r="M1006" s="83" t="s">
        <v>20</v>
      </c>
      <c r="N1006" s="87" t="s">
        <v>1361</v>
      </c>
      <c r="O1006" s="83" t="s">
        <v>827</v>
      </c>
    </row>
    <row r="1007" spans="1:15" ht="18">
      <c r="A1007" s="81">
        <f t="shared" si="15"/>
        <v>1006</v>
      </c>
      <c r="B1007" s="82" t="s">
        <v>1865</v>
      </c>
      <c r="C1007" s="83" t="s">
        <v>34</v>
      </c>
      <c r="D1007" s="83" t="s">
        <v>35</v>
      </c>
      <c r="E1007" s="84">
        <v>300</v>
      </c>
      <c r="F1007" s="85">
        <v>57.81</v>
      </c>
      <c r="G1007" s="83" t="s">
        <v>885</v>
      </c>
      <c r="H1007" s="83" t="s">
        <v>1360</v>
      </c>
      <c r="I1007" s="85">
        <f>Planejamento2024[[#This Row],[Qnt de Itens]]*Planejamento2024[[#This Row],[Valor unitário]]</f>
        <v>17343</v>
      </c>
      <c r="J1007" s="83" t="s">
        <v>20</v>
      </c>
      <c r="K1007" s="83" t="s">
        <v>478</v>
      </c>
      <c r="L1007" s="86">
        <v>45292</v>
      </c>
      <c r="M1007" s="83" t="s">
        <v>20</v>
      </c>
      <c r="N1007" s="87" t="s">
        <v>1361</v>
      </c>
      <c r="O1007" s="83" t="s">
        <v>827</v>
      </c>
    </row>
    <row r="1008" spans="1:15" ht="36">
      <c r="A1008" s="81">
        <f t="shared" si="15"/>
        <v>1007</v>
      </c>
      <c r="B1008" s="82" t="s">
        <v>1866</v>
      </c>
      <c r="C1008" s="83" t="s">
        <v>34</v>
      </c>
      <c r="D1008" s="83" t="s">
        <v>35</v>
      </c>
      <c r="E1008" s="84">
        <v>50</v>
      </c>
      <c r="F1008" s="85">
        <v>1858.87</v>
      </c>
      <c r="G1008" s="83" t="s">
        <v>885</v>
      </c>
      <c r="H1008" s="83" t="s">
        <v>1360</v>
      </c>
      <c r="I1008" s="85">
        <f>Planejamento2024[[#This Row],[Qnt de Itens]]*Planejamento2024[[#This Row],[Valor unitário]]</f>
        <v>92943.5</v>
      </c>
      <c r="J1008" s="83" t="s">
        <v>20</v>
      </c>
      <c r="K1008" s="83" t="s">
        <v>478</v>
      </c>
      <c r="L1008" s="86">
        <v>45292</v>
      </c>
      <c r="M1008" s="83" t="s">
        <v>20</v>
      </c>
      <c r="N1008" s="87" t="s">
        <v>1361</v>
      </c>
      <c r="O1008" s="83" t="s">
        <v>827</v>
      </c>
    </row>
    <row r="1009" spans="1:15" ht="54">
      <c r="A1009" s="81">
        <f t="shared" si="15"/>
        <v>1008</v>
      </c>
      <c r="B1009" s="82" t="s">
        <v>1867</v>
      </c>
      <c r="C1009" s="83" t="s">
        <v>34</v>
      </c>
      <c r="D1009" s="83" t="s">
        <v>35</v>
      </c>
      <c r="E1009" s="84">
        <v>50</v>
      </c>
      <c r="F1009" s="85">
        <v>1908.87</v>
      </c>
      <c r="G1009" s="83" t="s">
        <v>885</v>
      </c>
      <c r="H1009" s="83" t="s">
        <v>1360</v>
      </c>
      <c r="I1009" s="85">
        <f>Planejamento2024[[#This Row],[Qnt de Itens]]*Planejamento2024[[#This Row],[Valor unitário]]</f>
        <v>95443.5</v>
      </c>
      <c r="J1009" s="83" t="s">
        <v>20</v>
      </c>
      <c r="K1009" s="83" t="s">
        <v>478</v>
      </c>
      <c r="L1009" s="86">
        <v>45292</v>
      </c>
      <c r="M1009" s="83" t="s">
        <v>20</v>
      </c>
      <c r="N1009" s="87" t="s">
        <v>1361</v>
      </c>
      <c r="O1009" s="83" t="s">
        <v>827</v>
      </c>
    </row>
    <row r="1010" spans="1:15" ht="27">
      <c r="A1010" s="81">
        <f t="shared" si="15"/>
        <v>1009</v>
      </c>
      <c r="B1010" s="82" t="s">
        <v>1868</v>
      </c>
      <c r="C1010" s="83" t="s">
        <v>34</v>
      </c>
      <c r="D1010" s="83" t="s">
        <v>35</v>
      </c>
      <c r="E1010" s="84">
        <v>300</v>
      </c>
      <c r="F1010" s="85">
        <v>11.92</v>
      </c>
      <c r="G1010" s="83" t="s">
        <v>885</v>
      </c>
      <c r="H1010" s="83" t="s">
        <v>1360</v>
      </c>
      <c r="I1010" s="85">
        <f>Planejamento2024[[#This Row],[Qnt de Itens]]*Planejamento2024[[#This Row],[Valor unitário]]</f>
        <v>3576</v>
      </c>
      <c r="J1010" s="83" t="s">
        <v>20</v>
      </c>
      <c r="K1010" s="83" t="s">
        <v>478</v>
      </c>
      <c r="L1010" s="86">
        <v>45292</v>
      </c>
      <c r="M1010" s="83" t="s">
        <v>20</v>
      </c>
      <c r="N1010" s="87" t="s">
        <v>1361</v>
      </c>
      <c r="O1010" s="83" t="s">
        <v>827</v>
      </c>
    </row>
    <row r="1011" spans="1:15" ht="27">
      <c r="A1011" s="81">
        <f t="shared" si="15"/>
        <v>1010</v>
      </c>
      <c r="B1011" s="82" t="s">
        <v>1869</v>
      </c>
      <c r="C1011" s="83" t="s">
        <v>34</v>
      </c>
      <c r="D1011" s="83" t="s">
        <v>35</v>
      </c>
      <c r="E1011" s="84">
        <v>300</v>
      </c>
      <c r="F1011" s="85">
        <v>17.95</v>
      </c>
      <c r="G1011" s="83" t="s">
        <v>885</v>
      </c>
      <c r="H1011" s="83" t="s">
        <v>1360</v>
      </c>
      <c r="I1011" s="85">
        <f>Planejamento2024[[#This Row],[Qnt de Itens]]*Planejamento2024[[#This Row],[Valor unitário]]</f>
        <v>5385</v>
      </c>
      <c r="J1011" s="83" t="s">
        <v>20</v>
      </c>
      <c r="K1011" s="83" t="s">
        <v>478</v>
      </c>
      <c r="L1011" s="86">
        <v>45292</v>
      </c>
      <c r="M1011" s="83" t="s">
        <v>20</v>
      </c>
      <c r="N1011" s="87" t="s">
        <v>1361</v>
      </c>
      <c r="O1011" s="83" t="s">
        <v>827</v>
      </c>
    </row>
    <row r="1012" spans="1:15" ht="36">
      <c r="A1012" s="81">
        <f t="shared" si="15"/>
        <v>1011</v>
      </c>
      <c r="B1012" s="82" t="s">
        <v>1870</v>
      </c>
      <c r="C1012" s="83" t="s">
        <v>34</v>
      </c>
      <c r="D1012" s="83" t="s">
        <v>35</v>
      </c>
      <c r="E1012" s="84">
        <v>50</v>
      </c>
      <c r="F1012" s="85">
        <v>15.89</v>
      </c>
      <c r="G1012" s="83" t="s">
        <v>885</v>
      </c>
      <c r="H1012" s="83" t="s">
        <v>1360</v>
      </c>
      <c r="I1012" s="85">
        <f>Planejamento2024[[#This Row],[Qnt de Itens]]*Planejamento2024[[#This Row],[Valor unitário]]</f>
        <v>794.5</v>
      </c>
      <c r="J1012" s="83" t="s">
        <v>20</v>
      </c>
      <c r="K1012" s="83" t="s">
        <v>478</v>
      </c>
      <c r="L1012" s="86">
        <v>45292</v>
      </c>
      <c r="M1012" s="83" t="s">
        <v>20</v>
      </c>
      <c r="N1012" s="87" t="s">
        <v>1361</v>
      </c>
      <c r="O1012" s="83" t="s">
        <v>827</v>
      </c>
    </row>
    <row r="1013" spans="1:15" ht="18">
      <c r="A1013" s="81">
        <f t="shared" si="15"/>
        <v>1012</v>
      </c>
      <c r="B1013" s="82" t="s">
        <v>1871</v>
      </c>
      <c r="C1013" s="83" t="s">
        <v>34</v>
      </c>
      <c r="D1013" s="83" t="s">
        <v>35</v>
      </c>
      <c r="E1013" s="84">
        <v>50</v>
      </c>
      <c r="F1013" s="85">
        <v>184.56</v>
      </c>
      <c r="G1013" s="83" t="s">
        <v>885</v>
      </c>
      <c r="H1013" s="83" t="s">
        <v>1360</v>
      </c>
      <c r="I1013" s="85">
        <f>Planejamento2024[[#This Row],[Qnt de Itens]]*Planejamento2024[[#This Row],[Valor unitário]]</f>
        <v>9228</v>
      </c>
      <c r="J1013" s="83" t="s">
        <v>20</v>
      </c>
      <c r="K1013" s="83" t="s">
        <v>478</v>
      </c>
      <c r="L1013" s="86">
        <v>45292</v>
      </c>
      <c r="M1013" s="83" t="s">
        <v>20</v>
      </c>
      <c r="N1013" s="87" t="s">
        <v>1361</v>
      </c>
      <c r="O1013" s="83" t="s">
        <v>827</v>
      </c>
    </row>
    <row r="1014" spans="1:15" ht="27">
      <c r="A1014" s="81">
        <f t="shared" si="15"/>
        <v>1013</v>
      </c>
      <c r="B1014" s="82" t="s">
        <v>1872</v>
      </c>
      <c r="C1014" s="83" t="s">
        <v>34</v>
      </c>
      <c r="D1014" s="83" t="s">
        <v>35</v>
      </c>
      <c r="E1014" s="84">
        <v>500</v>
      </c>
      <c r="F1014" s="85">
        <v>49.51</v>
      </c>
      <c r="G1014" s="83" t="s">
        <v>885</v>
      </c>
      <c r="H1014" s="83" t="s">
        <v>1360</v>
      </c>
      <c r="I1014" s="85">
        <f>Planejamento2024[[#This Row],[Qnt de Itens]]*Planejamento2024[[#This Row],[Valor unitário]]</f>
        <v>24755</v>
      </c>
      <c r="J1014" s="83" t="s">
        <v>20</v>
      </c>
      <c r="K1014" s="83" t="s">
        <v>478</v>
      </c>
      <c r="L1014" s="86">
        <v>45292</v>
      </c>
      <c r="M1014" s="83" t="s">
        <v>20</v>
      </c>
      <c r="N1014" s="87" t="s">
        <v>1361</v>
      </c>
      <c r="O1014" s="83" t="s">
        <v>827</v>
      </c>
    </row>
    <row r="1015" spans="1:15" ht="36">
      <c r="A1015" s="81">
        <f t="shared" si="15"/>
        <v>1014</v>
      </c>
      <c r="B1015" s="82" t="s">
        <v>1873</v>
      </c>
      <c r="C1015" s="83" t="s">
        <v>34</v>
      </c>
      <c r="D1015" s="83" t="s">
        <v>35</v>
      </c>
      <c r="E1015" s="84">
        <v>500</v>
      </c>
      <c r="F1015" s="85">
        <v>70.69</v>
      </c>
      <c r="G1015" s="83" t="s">
        <v>885</v>
      </c>
      <c r="H1015" s="83" t="s">
        <v>1360</v>
      </c>
      <c r="I1015" s="85">
        <f>Planejamento2024[[#This Row],[Qnt de Itens]]*Planejamento2024[[#This Row],[Valor unitário]]</f>
        <v>35345</v>
      </c>
      <c r="J1015" s="83" t="s">
        <v>20</v>
      </c>
      <c r="K1015" s="83" t="s">
        <v>478</v>
      </c>
      <c r="L1015" s="86">
        <v>45292</v>
      </c>
      <c r="M1015" s="83" t="s">
        <v>20</v>
      </c>
      <c r="N1015" s="87" t="s">
        <v>1361</v>
      </c>
      <c r="O1015" s="83" t="s">
        <v>827</v>
      </c>
    </row>
    <row r="1016" spans="1:15" ht="36">
      <c r="A1016" s="81">
        <f t="shared" si="15"/>
        <v>1015</v>
      </c>
      <c r="B1016" s="82" t="s">
        <v>1874</v>
      </c>
      <c r="C1016" s="83" t="s">
        <v>34</v>
      </c>
      <c r="D1016" s="83" t="s">
        <v>35</v>
      </c>
      <c r="E1016" s="84">
        <v>500</v>
      </c>
      <c r="F1016" s="85">
        <v>33.770000000000003</v>
      </c>
      <c r="G1016" s="83" t="s">
        <v>885</v>
      </c>
      <c r="H1016" s="83" t="s">
        <v>1360</v>
      </c>
      <c r="I1016" s="85">
        <f>Planejamento2024[[#This Row],[Qnt de Itens]]*Planejamento2024[[#This Row],[Valor unitário]]</f>
        <v>16885</v>
      </c>
      <c r="J1016" s="83" t="s">
        <v>20</v>
      </c>
      <c r="K1016" s="83" t="s">
        <v>478</v>
      </c>
      <c r="L1016" s="86">
        <v>45292</v>
      </c>
      <c r="M1016" s="83" t="s">
        <v>20</v>
      </c>
      <c r="N1016" s="87" t="s">
        <v>1361</v>
      </c>
      <c r="O1016" s="83" t="s">
        <v>827</v>
      </c>
    </row>
    <row r="1017" spans="1:15" ht="18">
      <c r="A1017" s="81">
        <f t="shared" si="15"/>
        <v>1016</v>
      </c>
      <c r="B1017" s="82" t="s">
        <v>1875</v>
      </c>
      <c r="C1017" s="83" t="s">
        <v>34</v>
      </c>
      <c r="D1017" s="83" t="s">
        <v>35</v>
      </c>
      <c r="E1017" s="84">
        <v>400</v>
      </c>
      <c r="F1017" s="85">
        <v>143.5</v>
      </c>
      <c r="G1017" s="83" t="s">
        <v>885</v>
      </c>
      <c r="H1017" s="83" t="s">
        <v>1360</v>
      </c>
      <c r="I1017" s="85">
        <f>Planejamento2024[[#This Row],[Qnt de Itens]]*Planejamento2024[[#This Row],[Valor unitário]]</f>
        <v>57400</v>
      </c>
      <c r="J1017" s="83" t="s">
        <v>20</v>
      </c>
      <c r="K1017" s="83" t="s">
        <v>478</v>
      </c>
      <c r="L1017" s="86">
        <v>45292</v>
      </c>
      <c r="M1017" s="83" t="s">
        <v>20</v>
      </c>
      <c r="N1017" s="87" t="s">
        <v>1361</v>
      </c>
      <c r="O1017" s="83" t="s">
        <v>827</v>
      </c>
    </row>
    <row r="1018" spans="1:15" ht="72">
      <c r="A1018" s="81">
        <f t="shared" si="15"/>
        <v>1017</v>
      </c>
      <c r="B1018" s="82" t="s">
        <v>1876</v>
      </c>
      <c r="C1018" s="83" t="s">
        <v>34</v>
      </c>
      <c r="D1018" s="83" t="s">
        <v>35</v>
      </c>
      <c r="E1018" s="84">
        <v>100</v>
      </c>
      <c r="F1018" s="85">
        <v>82.29</v>
      </c>
      <c r="G1018" s="83" t="s">
        <v>885</v>
      </c>
      <c r="H1018" s="83" t="s">
        <v>1360</v>
      </c>
      <c r="I1018" s="85">
        <f>Planejamento2024[[#This Row],[Qnt de Itens]]*Planejamento2024[[#This Row],[Valor unitário]]</f>
        <v>8229</v>
      </c>
      <c r="J1018" s="83" t="s">
        <v>20</v>
      </c>
      <c r="K1018" s="83" t="s">
        <v>478</v>
      </c>
      <c r="L1018" s="86">
        <v>45292</v>
      </c>
      <c r="M1018" s="83" t="s">
        <v>20</v>
      </c>
      <c r="N1018" s="87" t="s">
        <v>1361</v>
      </c>
      <c r="O1018" s="83" t="s">
        <v>827</v>
      </c>
    </row>
    <row r="1019" spans="1:15" ht="18">
      <c r="A1019" s="81">
        <f t="shared" si="15"/>
        <v>1018</v>
      </c>
      <c r="B1019" s="82" t="s">
        <v>1877</v>
      </c>
      <c r="C1019" s="83" t="s">
        <v>34</v>
      </c>
      <c r="D1019" s="83" t="s">
        <v>35</v>
      </c>
      <c r="E1019" s="84">
        <v>50</v>
      </c>
      <c r="F1019" s="85">
        <v>123.5</v>
      </c>
      <c r="G1019" s="83" t="s">
        <v>885</v>
      </c>
      <c r="H1019" s="83" t="s">
        <v>1360</v>
      </c>
      <c r="I1019" s="85">
        <f>Planejamento2024[[#This Row],[Qnt de Itens]]*Planejamento2024[[#This Row],[Valor unitário]]</f>
        <v>6175</v>
      </c>
      <c r="J1019" s="83" t="s">
        <v>20</v>
      </c>
      <c r="K1019" s="83" t="s">
        <v>478</v>
      </c>
      <c r="L1019" s="86">
        <v>45292</v>
      </c>
      <c r="M1019" s="83" t="s">
        <v>20</v>
      </c>
      <c r="N1019" s="87" t="s">
        <v>1361</v>
      </c>
      <c r="O1019" s="83" t="s">
        <v>827</v>
      </c>
    </row>
    <row r="1020" spans="1:15" ht="27">
      <c r="A1020" s="81">
        <f t="shared" si="15"/>
        <v>1019</v>
      </c>
      <c r="B1020" s="82" t="s">
        <v>1878</v>
      </c>
      <c r="C1020" s="83" t="s">
        <v>34</v>
      </c>
      <c r="D1020" s="83" t="s">
        <v>35</v>
      </c>
      <c r="E1020" s="84">
        <v>20</v>
      </c>
      <c r="F1020" s="85">
        <v>1553.07</v>
      </c>
      <c r="G1020" s="83" t="s">
        <v>885</v>
      </c>
      <c r="H1020" s="83" t="s">
        <v>1360</v>
      </c>
      <c r="I1020" s="85">
        <f>Planejamento2024[[#This Row],[Qnt de Itens]]*Planejamento2024[[#This Row],[Valor unitário]]</f>
        <v>31061.399999999998</v>
      </c>
      <c r="J1020" s="83" t="s">
        <v>20</v>
      </c>
      <c r="K1020" s="83" t="s">
        <v>478</v>
      </c>
      <c r="L1020" s="86">
        <v>45292</v>
      </c>
      <c r="M1020" s="83" t="s">
        <v>20</v>
      </c>
      <c r="N1020" s="87" t="s">
        <v>1361</v>
      </c>
      <c r="O1020" s="83" t="s">
        <v>827</v>
      </c>
    </row>
    <row r="1021" spans="1:15" ht="18">
      <c r="A1021" s="81">
        <f t="shared" si="15"/>
        <v>1020</v>
      </c>
      <c r="B1021" s="82" t="s">
        <v>1879</v>
      </c>
      <c r="C1021" s="83" t="s">
        <v>34</v>
      </c>
      <c r="D1021" s="83" t="s">
        <v>35</v>
      </c>
      <c r="E1021" s="84">
        <v>50</v>
      </c>
      <c r="F1021" s="85">
        <v>126.13</v>
      </c>
      <c r="G1021" s="83" t="s">
        <v>885</v>
      </c>
      <c r="H1021" s="83" t="s">
        <v>1360</v>
      </c>
      <c r="I1021" s="85">
        <f>Planejamento2024[[#This Row],[Qnt de Itens]]*Planejamento2024[[#This Row],[Valor unitário]]</f>
        <v>6306.5</v>
      </c>
      <c r="J1021" s="83" t="s">
        <v>20</v>
      </c>
      <c r="K1021" s="83" t="s">
        <v>478</v>
      </c>
      <c r="L1021" s="86">
        <v>45292</v>
      </c>
      <c r="M1021" s="83" t="s">
        <v>20</v>
      </c>
      <c r="N1021" s="87" t="s">
        <v>1361</v>
      </c>
      <c r="O1021" s="83" t="s">
        <v>827</v>
      </c>
    </row>
    <row r="1022" spans="1:15" ht="18">
      <c r="A1022" s="81">
        <f t="shared" si="15"/>
        <v>1021</v>
      </c>
      <c r="B1022" s="82" t="s">
        <v>1880</v>
      </c>
      <c r="C1022" s="83" t="s">
        <v>34</v>
      </c>
      <c r="D1022" s="83" t="s">
        <v>35</v>
      </c>
      <c r="E1022" s="84">
        <v>50</v>
      </c>
      <c r="F1022" s="85">
        <v>101.08</v>
      </c>
      <c r="G1022" s="83" t="s">
        <v>885</v>
      </c>
      <c r="H1022" s="83" t="s">
        <v>1360</v>
      </c>
      <c r="I1022" s="85">
        <f>Planejamento2024[[#This Row],[Qnt de Itens]]*Planejamento2024[[#This Row],[Valor unitário]]</f>
        <v>5054</v>
      </c>
      <c r="J1022" s="83" t="s">
        <v>20</v>
      </c>
      <c r="K1022" s="83" t="s">
        <v>478</v>
      </c>
      <c r="L1022" s="86">
        <v>45292</v>
      </c>
      <c r="M1022" s="83" t="s">
        <v>20</v>
      </c>
      <c r="N1022" s="87" t="s">
        <v>1361</v>
      </c>
      <c r="O1022" s="83" t="s">
        <v>827</v>
      </c>
    </row>
    <row r="1023" spans="1:15" ht="27">
      <c r="A1023" s="81">
        <f t="shared" si="15"/>
        <v>1022</v>
      </c>
      <c r="B1023" s="82" t="s">
        <v>1881</v>
      </c>
      <c r="C1023" s="83" t="s">
        <v>34</v>
      </c>
      <c r="D1023" s="83" t="s">
        <v>35</v>
      </c>
      <c r="E1023" s="84">
        <v>300</v>
      </c>
      <c r="F1023" s="85">
        <v>22.93</v>
      </c>
      <c r="G1023" s="83" t="s">
        <v>885</v>
      </c>
      <c r="H1023" s="83" t="s">
        <v>1360</v>
      </c>
      <c r="I1023" s="85">
        <f>Planejamento2024[[#This Row],[Qnt de Itens]]*Planejamento2024[[#This Row],[Valor unitário]]</f>
        <v>6879</v>
      </c>
      <c r="J1023" s="83" t="s">
        <v>20</v>
      </c>
      <c r="K1023" s="83" t="s">
        <v>478</v>
      </c>
      <c r="L1023" s="86">
        <v>45292</v>
      </c>
      <c r="M1023" s="83" t="s">
        <v>20</v>
      </c>
      <c r="N1023" s="87" t="s">
        <v>1361</v>
      </c>
      <c r="O1023" s="83" t="s">
        <v>827</v>
      </c>
    </row>
    <row r="1024" spans="1:15" ht="36">
      <c r="A1024" s="81">
        <f t="shared" si="15"/>
        <v>1023</v>
      </c>
      <c r="B1024" s="82" t="s">
        <v>1882</v>
      </c>
      <c r="C1024" s="83" t="s">
        <v>34</v>
      </c>
      <c r="D1024" s="83" t="s">
        <v>35</v>
      </c>
      <c r="E1024" s="84">
        <v>400</v>
      </c>
      <c r="F1024" s="85">
        <v>812.67</v>
      </c>
      <c r="G1024" s="83" t="s">
        <v>885</v>
      </c>
      <c r="H1024" s="83" t="s">
        <v>1360</v>
      </c>
      <c r="I1024" s="85">
        <f>Planejamento2024[[#This Row],[Qnt de Itens]]*Planejamento2024[[#This Row],[Valor unitário]]</f>
        <v>325068</v>
      </c>
      <c r="J1024" s="83" t="s">
        <v>20</v>
      </c>
      <c r="K1024" s="83" t="s">
        <v>478</v>
      </c>
      <c r="L1024" s="86">
        <v>45292</v>
      </c>
      <c r="M1024" s="83" t="s">
        <v>20</v>
      </c>
      <c r="N1024" s="87" t="s">
        <v>1361</v>
      </c>
      <c r="O1024" s="83" t="s">
        <v>827</v>
      </c>
    </row>
    <row r="1025" spans="1:15" ht="72">
      <c r="A1025" s="81">
        <f t="shared" si="15"/>
        <v>1024</v>
      </c>
      <c r="B1025" s="82" t="s">
        <v>1883</v>
      </c>
      <c r="C1025" s="83" t="s">
        <v>34</v>
      </c>
      <c r="D1025" s="83" t="s">
        <v>35</v>
      </c>
      <c r="E1025" s="84">
        <v>500</v>
      </c>
      <c r="F1025" s="85">
        <v>312</v>
      </c>
      <c r="G1025" s="83" t="s">
        <v>885</v>
      </c>
      <c r="H1025" s="83" t="s">
        <v>1360</v>
      </c>
      <c r="I1025" s="85">
        <f>Planejamento2024[[#This Row],[Qnt de Itens]]*Planejamento2024[[#This Row],[Valor unitário]]</f>
        <v>156000</v>
      </c>
      <c r="J1025" s="83" t="s">
        <v>20</v>
      </c>
      <c r="K1025" s="83" t="s">
        <v>478</v>
      </c>
      <c r="L1025" s="86">
        <v>45292</v>
      </c>
      <c r="M1025" s="83" t="s">
        <v>20</v>
      </c>
      <c r="N1025" s="87" t="s">
        <v>1361</v>
      </c>
      <c r="O1025" s="83" t="s">
        <v>827</v>
      </c>
    </row>
    <row r="1026" spans="1:15" ht="27">
      <c r="A1026" s="81">
        <f t="shared" ref="A1026:A1089" si="16">ROW(A1025)</f>
        <v>1025</v>
      </c>
      <c r="B1026" s="82" t="s">
        <v>1884</v>
      </c>
      <c r="C1026" s="83" t="s">
        <v>34</v>
      </c>
      <c r="D1026" s="83" t="s">
        <v>35</v>
      </c>
      <c r="E1026" s="84">
        <v>300</v>
      </c>
      <c r="F1026" s="85">
        <v>16.27</v>
      </c>
      <c r="G1026" s="83" t="s">
        <v>885</v>
      </c>
      <c r="H1026" s="83" t="s">
        <v>1360</v>
      </c>
      <c r="I1026" s="85">
        <f>Planejamento2024[[#This Row],[Qnt de Itens]]*Planejamento2024[[#This Row],[Valor unitário]]</f>
        <v>4881</v>
      </c>
      <c r="J1026" s="83" t="s">
        <v>20</v>
      </c>
      <c r="K1026" s="83" t="s">
        <v>478</v>
      </c>
      <c r="L1026" s="86">
        <v>45292</v>
      </c>
      <c r="M1026" s="83" t="s">
        <v>20</v>
      </c>
      <c r="N1026" s="87" t="s">
        <v>1361</v>
      </c>
      <c r="O1026" s="83" t="s">
        <v>827</v>
      </c>
    </row>
    <row r="1027" spans="1:15" ht="18">
      <c r="A1027" s="81">
        <f t="shared" si="16"/>
        <v>1026</v>
      </c>
      <c r="B1027" s="82" t="s">
        <v>1885</v>
      </c>
      <c r="C1027" s="83" t="s">
        <v>34</v>
      </c>
      <c r="D1027" s="83" t="s">
        <v>35</v>
      </c>
      <c r="E1027" s="84">
        <v>200</v>
      </c>
      <c r="F1027" s="85">
        <v>32.75</v>
      </c>
      <c r="G1027" s="83" t="s">
        <v>885</v>
      </c>
      <c r="H1027" s="83" t="s">
        <v>1360</v>
      </c>
      <c r="I1027" s="85">
        <f>Planejamento2024[[#This Row],[Qnt de Itens]]*Planejamento2024[[#This Row],[Valor unitário]]</f>
        <v>6550</v>
      </c>
      <c r="J1027" s="83" t="s">
        <v>20</v>
      </c>
      <c r="K1027" s="83" t="s">
        <v>478</v>
      </c>
      <c r="L1027" s="86">
        <v>45292</v>
      </c>
      <c r="M1027" s="83" t="s">
        <v>20</v>
      </c>
      <c r="N1027" s="87" t="s">
        <v>1361</v>
      </c>
      <c r="O1027" s="83" t="s">
        <v>827</v>
      </c>
    </row>
    <row r="1028" spans="1:15" ht="27">
      <c r="A1028" s="81">
        <f t="shared" si="16"/>
        <v>1027</v>
      </c>
      <c r="B1028" s="82" t="s">
        <v>1886</v>
      </c>
      <c r="C1028" s="83" t="s">
        <v>34</v>
      </c>
      <c r="D1028" s="83" t="s">
        <v>35</v>
      </c>
      <c r="E1028" s="84">
        <v>50</v>
      </c>
      <c r="F1028" s="85">
        <v>144.58000000000001</v>
      </c>
      <c r="G1028" s="83" t="s">
        <v>885</v>
      </c>
      <c r="H1028" s="83" t="s">
        <v>1360</v>
      </c>
      <c r="I1028" s="85">
        <f>Planejamento2024[[#This Row],[Qnt de Itens]]*Planejamento2024[[#This Row],[Valor unitário]]</f>
        <v>7229.0000000000009</v>
      </c>
      <c r="J1028" s="83" t="s">
        <v>20</v>
      </c>
      <c r="K1028" s="83" t="s">
        <v>478</v>
      </c>
      <c r="L1028" s="86">
        <v>45292</v>
      </c>
      <c r="M1028" s="83" t="s">
        <v>20</v>
      </c>
      <c r="N1028" s="87" t="s">
        <v>1361</v>
      </c>
      <c r="O1028" s="83" t="s">
        <v>827</v>
      </c>
    </row>
    <row r="1029" spans="1:15" ht="54">
      <c r="A1029" s="81">
        <f t="shared" si="16"/>
        <v>1028</v>
      </c>
      <c r="B1029" s="82" t="s">
        <v>1887</v>
      </c>
      <c r="C1029" s="83" t="s">
        <v>34</v>
      </c>
      <c r="D1029" s="83" t="s">
        <v>35</v>
      </c>
      <c r="E1029" s="84">
        <v>400</v>
      </c>
      <c r="F1029" s="85">
        <v>100.85</v>
      </c>
      <c r="G1029" s="83" t="s">
        <v>885</v>
      </c>
      <c r="H1029" s="83" t="s">
        <v>1360</v>
      </c>
      <c r="I1029" s="85">
        <f>Planejamento2024[[#This Row],[Qnt de Itens]]*Planejamento2024[[#This Row],[Valor unitário]]</f>
        <v>40340</v>
      </c>
      <c r="J1029" s="83" t="s">
        <v>20</v>
      </c>
      <c r="K1029" s="83" t="s">
        <v>478</v>
      </c>
      <c r="L1029" s="86">
        <v>45292</v>
      </c>
      <c r="M1029" s="83" t="s">
        <v>20</v>
      </c>
      <c r="N1029" s="87" t="s">
        <v>1361</v>
      </c>
      <c r="O1029" s="83" t="s">
        <v>827</v>
      </c>
    </row>
    <row r="1030" spans="1:15" ht="27">
      <c r="A1030" s="81">
        <f t="shared" si="16"/>
        <v>1029</v>
      </c>
      <c r="B1030" s="82" t="s">
        <v>1888</v>
      </c>
      <c r="C1030" s="83" t="s">
        <v>34</v>
      </c>
      <c r="D1030" s="83" t="s">
        <v>35</v>
      </c>
      <c r="E1030" s="84">
        <v>200</v>
      </c>
      <c r="F1030" s="85">
        <v>131.76</v>
      </c>
      <c r="G1030" s="83" t="s">
        <v>885</v>
      </c>
      <c r="H1030" s="83" t="s">
        <v>1360</v>
      </c>
      <c r="I1030" s="85">
        <f>Planejamento2024[[#This Row],[Qnt de Itens]]*Planejamento2024[[#This Row],[Valor unitário]]</f>
        <v>26352</v>
      </c>
      <c r="J1030" s="83" t="s">
        <v>20</v>
      </c>
      <c r="K1030" s="83" t="s">
        <v>478</v>
      </c>
      <c r="L1030" s="86">
        <v>45292</v>
      </c>
      <c r="M1030" s="83" t="s">
        <v>20</v>
      </c>
      <c r="N1030" s="87" t="s">
        <v>1361</v>
      </c>
      <c r="O1030" s="83" t="s">
        <v>827</v>
      </c>
    </row>
    <row r="1031" spans="1:15" ht="36">
      <c r="A1031" s="81">
        <f t="shared" si="16"/>
        <v>1030</v>
      </c>
      <c r="B1031" s="82" t="s">
        <v>1889</v>
      </c>
      <c r="C1031" s="83" t="s">
        <v>34</v>
      </c>
      <c r="D1031" s="83" t="s">
        <v>35</v>
      </c>
      <c r="E1031" s="84">
        <v>200</v>
      </c>
      <c r="F1031" s="85">
        <v>174.37</v>
      </c>
      <c r="G1031" s="83" t="s">
        <v>885</v>
      </c>
      <c r="H1031" s="83" t="s">
        <v>1360</v>
      </c>
      <c r="I1031" s="85">
        <f>Planejamento2024[[#This Row],[Qnt de Itens]]*Planejamento2024[[#This Row],[Valor unitário]]</f>
        <v>34874</v>
      </c>
      <c r="J1031" s="83" t="s">
        <v>20</v>
      </c>
      <c r="K1031" s="83" t="s">
        <v>478</v>
      </c>
      <c r="L1031" s="86">
        <v>45292</v>
      </c>
      <c r="M1031" s="83" t="s">
        <v>20</v>
      </c>
      <c r="N1031" s="87" t="s">
        <v>1361</v>
      </c>
      <c r="O1031" s="83" t="s">
        <v>827</v>
      </c>
    </row>
    <row r="1032" spans="1:15" ht="18">
      <c r="A1032" s="81">
        <f t="shared" si="16"/>
        <v>1031</v>
      </c>
      <c r="B1032" s="82" t="s">
        <v>1890</v>
      </c>
      <c r="C1032" s="83" t="s">
        <v>34</v>
      </c>
      <c r="D1032" s="83" t="s">
        <v>35</v>
      </c>
      <c r="E1032" s="84">
        <v>600</v>
      </c>
      <c r="F1032" s="85">
        <v>72.23</v>
      </c>
      <c r="G1032" s="83" t="s">
        <v>885</v>
      </c>
      <c r="H1032" s="83" t="s">
        <v>1360</v>
      </c>
      <c r="I1032" s="85">
        <f>Planejamento2024[[#This Row],[Qnt de Itens]]*Planejamento2024[[#This Row],[Valor unitário]]</f>
        <v>43338</v>
      </c>
      <c r="J1032" s="83" t="s">
        <v>20</v>
      </c>
      <c r="K1032" s="83" t="s">
        <v>478</v>
      </c>
      <c r="L1032" s="86">
        <v>45292</v>
      </c>
      <c r="M1032" s="83" t="s">
        <v>20</v>
      </c>
      <c r="N1032" s="87" t="s">
        <v>1361</v>
      </c>
      <c r="O1032" s="83" t="s">
        <v>827</v>
      </c>
    </row>
    <row r="1033" spans="1:15" ht="27">
      <c r="A1033" s="81">
        <f t="shared" si="16"/>
        <v>1032</v>
      </c>
      <c r="B1033" s="82" t="s">
        <v>1891</v>
      </c>
      <c r="C1033" s="83" t="s">
        <v>34</v>
      </c>
      <c r="D1033" s="83" t="s">
        <v>35</v>
      </c>
      <c r="E1033" s="84">
        <v>50</v>
      </c>
      <c r="F1033" s="85">
        <v>40.130000000000003</v>
      </c>
      <c r="G1033" s="83" t="s">
        <v>885</v>
      </c>
      <c r="H1033" s="83" t="s">
        <v>1360</v>
      </c>
      <c r="I1033" s="85">
        <f>Planejamento2024[[#This Row],[Qnt de Itens]]*Planejamento2024[[#This Row],[Valor unitário]]</f>
        <v>2006.5000000000002</v>
      </c>
      <c r="J1033" s="83" t="s">
        <v>20</v>
      </c>
      <c r="K1033" s="83" t="s">
        <v>478</v>
      </c>
      <c r="L1033" s="86">
        <v>45292</v>
      </c>
      <c r="M1033" s="83" t="s">
        <v>20</v>
      </c>
      <c r="N1033" s="87" t="s">
        <v>1361</v>
      </c>
      <c r="O1033" s="83" t="s">
        <v>827</v>
      </c>
    </row>
    <row r="1034" spans="1:15" ht="18">
      <c r="A1034" s="81">
        <f t="shared" si="16"/>
        <v>1033</v>
      </c>
      <c r="B1034" s="82" t="s">
        <v>1892</v>
      </c>
      <c r="C1034" s="83" t="s">
        <v>34</v>
      </c>
      <c r="D1034" s="83" t="s">
        <v>35</v>
      </c>
      <c r="E1034" s="84">
        <v>50</v>
      </c>
      <c r="F1034" s="85">
        <v>27.68</v>
      </c>
      <c r="G1034" s="83" t="s">
        <v>885</v>
      </c>
      <c r="H1034" s="83" t="s">
        <v>1360</v>
      </c>
      <c r="I1034" s="85">
        <f>Planejamento2024[[#This Row],[Qnt de Itens]]*Planejamento2024[[#This Row],[Valor unitário]]</f>
        <v>1384</v>
      </c>
      <c r="J1034" s="83" t="s">
        <v>20</v>
      </c>
      <c r="K1034" s="83" t="s">
        <v>478</v>
      </c>
      <c r="L1034" s="86">
        <v>45292</v>
      </c>
      <c r="M1034" s="83" t="s">
        <v>20</v>
      </c>
      <c r="N1034" s="87" t="s">
        <v>1361</v>
      </c>
      <c r="O1034" s="83" t="s">
        <v>827</v>
      </c>
    </row>
    <row r="1035" spans="1:15" ht="36">
      <c r="A1035" s="81">
        <f t="shared" si="16"/>
        <v>1034</v>
      </c>
      <c r="B1035" s="82" t="s">
        <v>1893</v>
      </c>
      <c r="C1035" s="83" t="s">
        <v>34</v>
      </c>
      <c r="D1035" s="83" t="s">
        <v>35</v>
      </c>
      <c r="E1035" s="84">
        <v>300</v>
      </c>
      <c r="F1035" s="85">
        <v>8.9600000000000009</v>
      </c>
      <c r="G1035" s="83" t="s">
        <v>885</v>
      </c>
      <c r="H1035" s="83" t="s">
        <v>1360</v>
      </c>
      <c r="I1035" s="85">
        <f>Planejamento2024[[#This Row],[Qnt de Itens]]*Planejamento2024[[#This Row],[Valor unitário]]</f>
        <v>2688.0000000000005</v>
      </c>
      <c r="J1035" s="83" t="s">
        <v>20</v>
      </c>
      <c r="K1035" s="83" t="s">
        <v>478</v>
      </c>
      <c r="L1035" s="86">
        <v>45292</v>
      </c>
      <c r="M1035" s="83" t="s">
        <v>20</v>
      </c>
      <c r="N1035" s="87" t="s">
        <v>1361</v>
      </c>
      <c r="O1035" s="83" t="s">
        <v>827</v>
      </c>
    </row>
    <row r="1036" spans="1:15" ht="18">
      <c r="A1036" s="81">
        <f t="shared" si="16"/>
        <v>1035</v>
      </c>
      <c r="B1036" s="82" t="s">
        <v>1894</v>
      </c>
      <c r="C1036" s="83" t="s">
        <v>34</v>
      </c>
      <c r="D1036" s="83" t="s">
        <v>35</v>
      </c>
      <c r="E1036" s="84">
        <v>100</v>
      </c>
      <c r="F1036" s="85">
        <v>12.32</v>
      </c>
      <c r="G1036" s="83" t="s">
        <v>885</v>
      </c>
      <c r="H1036" s="83" t="s">
        <v>1360</v>
      </c>
      <c r="I1036" s="85">
        <f>Planejamento2024[[#This Row],[Qnt de Itens]]*Planejamento2024[[#This Row],[Valor unitário]]</f>
        <v>1232</v>
      </c>
      <c r="J1036" s="83" t="s">
        <v>20</v>
      </c>
      <c r="K1036" s="83" t="s">
        <v>478</v>
      </c>
      <c r="L1036" s="86">
        <v>45292</v>
      </c>
      <c r="M1036" s="83" t="s">
        <v>20</v>
      </c>
      <c r="N1036" s="87" t="s">
        <v>1361</v>
      </c>
      <c r="O1036" s="83" t="s">
        <v>827</v>
      </c>
    </row>
    <row r="1037" spans="1:15" ht="18">
      <c r="A1037" s="81">
        <f t="shared" si="16"/>
        <v>1036</v>
      </c>
      <c r="B1037" s="82" t="s">
        <v>1895</v>
      </c>
      <c r="C1037" s="83" t="s">
        <v>34</v>
      </c>
      <c r="D1037" s="83" t="s">
        <v>35</v>
      </c>
      <c r="E1037" s="84">
        <v>100</v>
      </c>
      <c r="F1037" s="85">
        <v>16.239999999999998</v>
      </c>
      <c r="G1037" s="83" t="s">
        <v>885</v>
      </c>
      <c r="H1037" s="83" t="s">
        <v>1360</v>
      </c>
      <c r="I1037" s="85">
        <f>Planejamento2024[[#This Row],[Qnt de Itens]]*Planejamento2024[[#This Row],[Valor unitário]]</f>
        <v>1623.9999999999998</v>
      </c>
      <c r="J1037" s="83" t="s">
        <v>20</v>
      </c>
      <c r="K1037" s="83" t="s">
        <v>478</v>
      </c>
      <c r="L1037" s="86">
        <v>45292</v>
      </c>
      <c r="M1037" s="83" t="s">
        <v>20</v>
      </c>
      <c r="N1037" s="87" t="s">
        <v>1361</v>
      </c>
      <c r="O1037" s="83" t="s">
        <v>827</v>
      </c>
    </row>
    <row r="1038" spans="1:15" ht="18">
      <c r="A1038" s="81">
        <f t="shared" si="16"/>
        <v>1037</v>
      </c>
      <c r="B1038" s="82" t="s">
        <v>1896</v>
      </c>
      <c r="C1038" s="83" t="s">
        <v>34</v>
      </c>
      <c r="D1038" s="83" t="s">
        <v>35</v>
      </c>
      <c r="E1038" s="84">
        <v>1000</v>
      </c>
      <c r="F1038" s="85">
        <v>14.9</v>
      </c>
      <c r="G1038" s="83" t="s">
        <v>885</v>
      </c>
      <c r="H1038" s="83" t="s">
        <v>1360</v>
      </c>
      <c r="I1038" s="85">
        <f>Planejamento2024[[#This Row],[Qnt de Itens]]*Planejamento2024[[#This Row],[Valor unitário]]</f>
        <v>14900</v>
      </c>
      <c r="J1038" s="83" t="s">
        <v>20</v>
      </c>
      <c r="K1038" s="83" t="s">
        <v>478</v>
      </c>
      <c r="L1038" s="86">
        <v>45292</v>
      </c>
      <c r="M1038" s="83" t="s">
        <v>20</v>
      </c>
      <c r="N1038" s="87" t="s">
        <v>1361</v>
      </c>
      <c r="O1038" s="83" t="s">
        <v>827</v>
      </c>
    </row>
    <row r="1039" spans="1:15" ht="18">
      <c r="A1039" s="81">
        <f t="shared" si="16"/>
        <v>1038</v>
      </c>
      <c r="B1039" s="82" t="s">
        <v>1897</v>
      </c>
      <c r="C1039" s="83" t="s">
        <v>34</v>
      </c>
      <c r="D1039" s="83" t="s">
        <v>35</v>
      </c>
      <c r="E1039" s="84">
        <v>300</v>
      </c>
      <c r="F1039" s="85">
        <v>5.15</v>
      </c>
      <c r="G1039" s="83" t="s">
        <v>885</v>
      </c>
      <c r="H1039" s="83" t="s">
        <v>1360</v>
      </c>
      <c r="I1039" s="85">
        <f>Planejamento2024[[#This Row],[Qnt de Itens]]*Planejamento2024[[#This Row],[Valor unitário]]</f>
        <v>1545</v>
      </c>
      <c r="J1039" s="83" t="s">
        <v>20</v>
      </c>
      <c r="K1039" s="83" t="s">
        <v>478</v>
      </c>
      <c r="L1039" s="86">
        <v>45292</v>
      </c>
      <c r="M1039" s="83" t="s">
        <v>20</v>
      </c>
      <c r="N1039" s="87" t="s">
        <v>1361</v>
      </c>
      <c r="O1039" s="83" t="s">
        <v>827</v>
      </c>
    </row>
    <row r="1040" spans="1:15" ht="18">
      <c r="A1040" s="81">
        <f t="shared" si="16"/>
        <v>1039</v>
      </c>
      <c r="B1040" s="82" t="s">
        <v>1898</v>
      </c>
      <c r="C1040" s="83" t="s">
        <v>34</v>
      </c>
      <c r="D1040" s="83" t="s">
        <v>35</v>
      </c>
      <c r="E1040" s="84">
        <v>300</v>
      </c>
      <c r="F1040" s="85">
        <v>176.5</v>
      </c>
      <c r="G1040" s="83" t="s">
        <v>885</v>
      </c>
      <c r="H1040" s="83" t="s">
        <v>1360</v>
      </c>
      <c r="I1040" s="85">
        <f>Planejamento2024[[#This Row],[Qnt de Itens]]*Planejamento2024[[#This Row],[Valor unitário]]</f>
        <v>52950</v>
      </c>
      <c r="J1040" s="83" t="s">
        <v>20</v>
      </c>
      <c r="K1040" s="83" t="s">
        <v>478</v>
      </c>
      <c r="L1040" s="86">
        <v>45292</v>
      </c>
      <c r="M1040" s="83" t="s">
        <v>20</v>
      </c>
      <c r="N1040" s="87" t="s">
        <v>1361</v>
      </c>
      <c r="O1040" s="83" t="s">
        <v>827</v>
      </c>
    </row>
    <row r="1041" spans="1:15" ht="18">
      <c r="A1041" s="81">
        <f t="shared" si="16"/>
        <v>1040</v>
      </c>
      <c r="B1041" s="82" t="s">
        <v>1899</v>
      </c>
      <c r="C1041" s="83" t="s">
        <v>34</v>
      </c>
      <c r="D1041" s="83" t="s">
        <v>35</v>
      </c>
      <c r="E1041" s="84">
        <v>300</v>
      </c>
      <c r="F1041" s="85">
        <v>10.47</v>
      </c>
      <c r="G1041" s="83" t="s">
        <v>885</v>
      </c>
      <c r="H1041" s="83" t="s">
        <v>1360</v>
      </c>
      <c r="I1041" s="85">
        <f>Planejamento2024[[#This Row],[Qnt de Itens]]*Planejamento2024[[#This Row],[Valor unitário]]</f>
        <v>3141</v>
      </c>
      <c r="J1041" s="83" t="s">
        <v>20</v>
      </c>
      <c r="K1041" s="83" t="s">
        <v>478</v>
      </c>
      <c r="L1041" s="86">
        <v>45292</v>
      </c>
      <c r="M1041" s="83" t="s">
        <v>20</v>
      </c>
      <c r="N1041" s="87" t="s">
        <v>1361</v>
      </c>
      <c r="O1041" s="83" t="s">
        <v>827</v>
      </c>
    </row>
    <row r="1042" spans="1:15" ht="18">
      <c r="A1042" s="81">
        <f t="shared" si="16"/>
        <v>1041</v>
      </c>
      <c r="B1042" s="82" t="s">
        <v>1900</v>
      </c>
      <c r="C1042" s="83" t="s">
        <v>34</v>
      </c>
      <c r="D1042" s="83" t="s">
        <v>35</v>
      </c>
      <c r="E1042" s="84">
        <v>300</v>
      </c>
      <c r="F1042" s="85">
        <v>111.99</v>
      </c>
      <c r="G1042" s="83" t="s">
        <v>885</v>
      </c>
      <c r="H1042" s="83" t="s">
        <v>1360</v>
      </c>
      <c r="I1042" s="85">
        <f>Planejamento2024[[#This Row],[Qnt de Itens]]*Planejamento2024[[#This Row],[Valor unitário]]</f>
        <v>33597</v>
      </c>
      <c r="J1042" s="83" t="s">
        <v>20</v>
      </c>
      <c r="K1042" s="83" t="s">
        <v>478</v>
      </c>
      <c r="L1042" s="86">
        <v>45292</v>
      </c>
      <c r="M1042" s="83" t="s">
        <v>20</v>
      </c>
      <c r="N1042" s="87" t="s">
        <v>1361</v>
      </c>
      <c r="O1042" s="83" t="s">
        <v>827</v>
      </c>
    </row>
    <row r="1043" spans="1:15" ht="18">
      <c r="A1043" s="81">
        <f t="shared" si="16"/>
        <v>1042</v>
      </c>
      <c r="B1043" s="82" t="s">
        <v>1901</v>
      </c>
      <c r="C1043" s="83" t="s">
        <v>34</v>
      </c>
      <c r="D1043" s="83" t="s">
        <v>35</v>
      </c>
      <c r="E1043" s="84">
        <v>200</v>
      </c>
      <c r="F1043" s="85">
        <v>17.170000000000002</v>
      </c>
      <c r="G1043" s="83" t="s">
        <v>885</v>
      </c>
      <c r="H1043" s="83" t="s">
        <v>1360</v>
      </c>
      <c r="I1043" s="85">
        <f>Planejamento2024[[#This Row],[Qnt de Itens]]*Planejamento2024[[#This Row],[Valor unitário]]</f>
        <v>3434.0000000000005</v>
      </c>
      <c r="J1043" s="83" t="s">
        <v>20</v>
      </c>
      <c r="K1043" s="83" t="s">
        <v>478</v>
      </c>
      <c r="L1043" s="86">
        <v>45292</v>
      </c>
      <c r="M1043" s="83" t="s">
        <v>20</v>
      </c>
      <c r="N1043" s="87" t="s">
        <v>1361</v>
      </c>
      <c r="O1043" s="83" t="s">
        <v>827</v>
      </c>
    </row>
    <row r="1044" spans="1:15" ht="18">
      <c r="A1044" s="81">
        <f t="shared" si="16"/>
        <v>1043</v>
      </c>
      <c r="B1044" s="82" t="s">
        <v>1902</v>
      </c>
      <c r="C1044" s="83" t="s">
        <v>34</v>
      </c>
      <c r="D1044" s="83" t="s">
        <v>35</v>
      </c>
      <c r="E1044" s="84">
        <v>300</v>
      </c>
      <c r="F1044" s="85">
        <v>20.67</v>
      </c>
      <c r="G1044" s="83" t="s">
        <v>885</v>
      </c>
      <c r="H1044" s="83" t="s">
        <v>1360</v>
      </c>
      <c r="I1044" s="85">
        <f>Planejamento2024[[#This Row],[Qnt de Itens]]*Planejamento2024[[#This Row],[Valor unitário]]</f>
        <v>6201.0000000000009</v>
      </c>
      <c r="J1044" s="83" t="s">
        <v>20</v>
      </c>
      <c r="K1044" s="83" t="s">
        <v>478</v>
      </c>
      <c r="L1044" s="86">
        <v>45292</v>
      </c>
      <c r="M1044" s="83" t="s">
        <v>20</v>
      </c>
      <c r="N1044" s="87" t="s">
        <v>1361</v>
      </c>
      <c r="O1044" s="83" t="s">
        <v>827</v>
      </c>
    </row>
    <row r="1045" spans="1:15" ht="18">
      <c r="A1045" s="81">
        <f t="shared" si="16"/>
        <v>1044</v>
      </c>
      <c r="B1045" s="82" t="s">
        <v>1903</v>
      </c>
      <c r="C1045" s="83" t="s">
        <v>34</v>
      </c>
      <c r="D1045" s="83" t="s">
        <v>35</v>
      </c>
      <c r="E1045" s="84">
        <v>300</v>
      </c>
      <c r="F1045" s="85">
        <v>23.44</v>
      </c>
      <c r="G1045" s="83" t="s">
        <v>885</v>
      </c>
      <c r="H1045" s="83" t="s">
        <v>1360</v>
      </c>
      <c r="I1045" s="85">
        <f>Planejamento2024[[#This Row],[Qnt de Itens]]*Planejamento2024[[#This Row],[Valor unitário]]</f>
        <v>7032</v>
      </c>
      <c r="J1045" s="83" t="s">
        <v>20</v>
      </c>
      <c r="K1045" s="83" t="s">
        <v>478</v>
      </c>
      <c r="L1045" s="86">
        <v>45292</v>
      </c>
      <c r="M1045" s="83" t="s">
        <v>20</v>
      </c>
      <c r="N1045" s="87" t="s">
        <v>1361</v>
      </c>
      <c r="O1045" s="83" t="s">
        <v>827</v>
      </c>
    </row>
    <row r="1046" spans="1:15" ht="36">
      <c r="A1046" s="81">
        <f t="shared" si="16"/>
        <v>1045</v>
      </c>
      <c r="B1046" s="82" t="s">
        <v>1904</v>
      </c>
      <c r="C1046" s="83" t="s">
        <v>34</v>
      </c>
      <c r="D1046" s="83" t="s">
        <v>35</v>
      </c>
      <c r="E1046" s="84">
        <v>300</v>
      </c>
      <c r="F1046" s="85">
        <v>10.24</v>
      </c>
      <c r="G1046" s="83" t="s">
        <v>885</v>
      </c>
      <c r="H1046" s="83" t="s">
        <v>1360</v>
      </c>
      <c r="I1046" s="85">
        <f>Planejamento2024[[#This Row],[Qnt de Itens]]*Planejamento2024[[#This Row],[Valor unitário]]</f>
        <v>3072</v>
      </c>
      <c r="J1046" s="83" t="s">
        <v>20</v>
      </c>
      <c r="K1046" s="83" t="s">
        <v>478</v>
      </c>
      <c r="L1046" s="86">
        <v>45292</v>
      </c>
      <c r="M1046" s="83" t="s">
        <v>20</v>
      </c>
      <c r="N1046" s="87" t="s">
        <v>1361</v>
      </c>
      <c r="O1046" s="83" t="s">
        <v>827</v>
      </c>
    </row>
    <row r="1047" spans="1:15" ht="36">
      <c r="A1047" s="81">
        <f t="shared" si="16"/>
        <v>1046</v>
      </c>
      <c r="B1047" s="82" t="s">
        <v>1905</v>
      </c>
      <c r="C1047" s="83" t="s">
        <v>34</v>
      </c>
      <c r="D1047" s="83" t="s">
        <v>35</v>
      </c>
      <c r="E1047" s="84">
        <v>300</v>
      </c>
      <c r="F1047" s="85">
        <v>11.37</v>
      </c>
      <c r="G1047" s="83" t="s">
        <v>885</v>
      </c>
      <c r="H1047" s="83" t="s">
        <v>1360</v>
      </c>
      <c r="I1047" s="85">
        <f>Planejamento2024[[#This Row],[Qnt de Itens]]*Planejamento2024[[#This Row],[Valor unitário]]</f>
        <v>3410.9999999999995</v>
      </c>
      <c r="J1047" s="83" t="s">
        <v>20</v>
      </c>
      <c r="K1047" s="83" t="s">
        <v>478</v>
      </c>
      <c r="L1047" s="86">
        <v>45292</v>
      </c>
      <c r="M1047" s="83" t="s">
        <v>20</v>
      </c>
      <c r="N1047" s="87" t="s">
        <v>1361</v>
      </c>
      <c r="O1047" s="83" t="s">
        <v>827</v>
      </c>
    </row>
    <row r="1048" spans="1:15" ht="18">
      <c r="A1048" s="81">
        <f t="shared" si="16"/>
        <v>1047</v>
      </c>
      <c r="B1048" s="82" t="s">
        <v>1906</v>
      </c>
      <c r="C1048" s="83" t="s">
        <v>34</v>
      </c>
      <c r="D1048" s="83" t="s">
        <v>35</v>
      </c>
      <c r="E1048" s="84">
        <v>300</v>
      </c>
      <c r="F1048" s="85">
        <v>4.95</v>
      </c>
      <c r="G1048" s="83" t="s">
        <v>885</v>
      </c>
      <c r="H1048" s="83" t="s">
        <v>1360</v>
      </c>
      <c r="I1048" s="85">
        <f>Planejamento2024[[#This Row],[Qnt de Itens]]*Planejamento2024[[#This Row],[Valor unitário]]</f>
        <v>1485</v>
      </c>
      <c r="J1048" s="83" t="s">
        <v>20</v>
      </c>
      <c r="K1048" s="83" t="s">
        <v>478</v>
      </c>
      <c r="L1048" s="86">
        <v>45292</v>
      </c>
      <c r="M1048" s="83" t="s">
        <v>20</v>
      </c>
      <c r="N1048" s="87" t="s">
        <v>1361</v>
      </c>
      <c r="O1048" s="83" t="s">
        <v>827</v>
      </c>
    </row>
    <row r="1049" spans="1:15" ht="18">
      <c r="A1049" s="81">
        <f t="shared" si="16"/>
        <v>1048</v>
      </c>
      <c r="B1049" s="82" t="s">
        <v>1907</v>
      </c>
      <c r="C1049" s="83" t="s">
        <v>34</v>
      </c>
      <c r="D1049" s="83" t="s">
        <v>35</v>
      </c>
      <c r="E1049" s="84">
        <v>300</v>
      </c>
      <c r="F1049" s="85">
        <v>5.69</v>
      </c>
      <c r="G1049" s="83" t="s">
        <v>885</v>
      </c>
      <c r="H1049" s="83" t="s">
        <v>1360</v>
      </c>
      <c r="I1049" s="85">
        <f>Planejamento2024[[#This Row],[Qnt de Itens]]*Planejamento2024[[#This Row],[Valor unitário]]</f>
        <v>1707.0000000000002</v>
      </c>
      <c r="J1049" s="83" t="s">
        <v>20</v>
      </c>
      <c r="K1049" s="83" t="s">
        <v>478</v>
      </c>
      <c r="L1049" s="86">
        <v>45292</v>
      </c>
      <c r="M1049" s="83" t="s">
        <v>20</v>
      </c>
      <c r="N1049" s="87" t="s">
        <v>1361</v>
      </c>
      <c r="O1049" s="83" t="s">
        <v>827</v>
      </c>
    </row>
    <row r="1050" spans="1:15" ht="18">
      <c r="A1050" s="81">
        <f t="shared" si="16"/>
        <v>1049</v>
      </c>
      <c r="B1050" s="82" t="s">
        <v>1908</v>
      </c>
      <c r="C1050" s="83" t="s">
        <v>34</v>
      </c>
      <c r="D1050" s="83" t="s">
        <v>35</v>
      </c>
      <c r="E1050" s="84">
        <v>500</v>
      </c>
      <c r="F1050" s="85">
        <v>399.95</v>
      </c>
      <c r="G1050" s="83" t="s">
        <v>885</v>
      </c>
      <c r="H1050" s="83" t="s">
        <v>1360</v>
      </c>
      <c r="I1050" s="85">
        <f>Planejamento2024[[#This Row],[Qnt de Itens]]*Planejamento2024[[#This Row],[Valor unitário]]</f>
        <v>199975</v>
      </c>
      <c r="J1050" s="83" t="s">
        <v>20</v>
      </c>
      <c r="K1050" s="83" t="s">
        <v>478</v>
      </c>
      <c r="L1050" s="86">
        <v>45292</v>
      </c>
      <c r="M1050" s="83" t="s">
        <v>20</v>
      </c>
      <c r="N1050" s="87" t="s">
        <v>1361</v>
      </c>
      <c r="O1050" s="83" t="s">
        <v>827</v>
      </c>
    </row>
    <row r="1051" spans="1:15" ht="18">
      <c r="A1051" s="81">
        <f t="shared" si="16"/>
        <v>1050</v>
      </c>
      <c r="B1051" s="82" t="s">
        <v>1909</v>
      </c>
      <c r="C1051" s="83" t="s">
        <v>34</v>
      </c>
      <c r="D1051" s="83" t="s">
        <v>35</v>
      </c>
      <c r="E1051" s="84">
        <v>1000</v>
      </c>
      <c r="F1051" s="85">
        <v>3.72</v>
      </c>
      <c r="G1051" s="83" t="s">
        <v>885</v>
      </c>
      <c r="H1051" s="83" t="s">
        <v>1360</v>
      </c>
      <c r="I1051" s="85">
        <f>Planejamento2024[[#This Row],[Qnt de Itens]]*Planejamento2024[[#This Row],[Valor unitário]]</f>
        <v>3720</v>
      </c>
      <c r="J1051" s="83" t="s">
        <v>20</v>
      </c>
      <c r="K1051" s="83" t="s">
        <v>478</v>
      </c>
      <c r="L1051" s="86">
        <v>45292</v>
      </c>
      <c r="M1051" s="83" t="s">
        <v>20</v>
      </c>
      <c r="N1051" s="87" t="s">
        <v>1361</v>
      </c>
      <c r="O1051" s="83" t="s">
        <v>827</v>
      </c>
    </row>
    <row r="1052" spans="1:15" ht="45">
      <c r="A1052" s="81">
        <f t="shared" si="16"/>
        <v>1051</v>
      </c>
      <c r="B1052" s="82" t="s">
        <v>1910</v>
      </c>
      <c r="C1052" s="83" t="s">
        <v>34</v>
      </c>
      <c r="D1052" s="83" t="s">
        <v>35</v>
      </c>
      <c r="E1052" s="84">
        <v>200</v>
      </c>
      <c r="F1052" s="85">
        <v>7.97</v>
      </c>
      <c r="G1052" s="83" t="s">
        <v>885</v>
      </c>
      <c r="H1052" s="83" t="s">
        <v>1360</v>
      </c>
      <c r="I1052" s="85">
        <f>Planejamento2024[[#This Row],[Qnt de Itens]]*Planejamento2024[[#This Row],[Valor unitário]]</f>
        <v>1594</v>
      </c>
      <c r="J1052" s="83" t="s">
        <v>20</v>
      </c>
      <c r="K1052" s="83" t="s">
        <v>478</v>
      </c>
      <c r="L1052" s="86">
        <v>45292</v>
      </c>
      <c r="M1052" s="83" t="s">
        <v>20</v>
      </c>
      <c r="N1052" s="87" t="s">
        <v>1361</v>
      </c>
      <c r="O1052" s="83" t="s">
        <v>827</v>
      </c>
    </row>
    <row r="1053" spans="1:15" ht="45">
      <c r="A1053" s="81">
        <f t="shared" si="16"/>
        <v>1052</v>
      </c>
      <c r="B1053" s="82" t="s">
        <v>1911</v>
      </c>
      <c r="C1053" s="83" t="s">
        <v>34</v>
      </c>
      <c r="D1053" s="83" t="s">
        <v>35</v>
      </c>
      <c r="E1053" s="84">
        <v>200</v>
      </c>
      <c r="F1053" s="85">
        <v>12.78</v>
      </c>
      <c r="G1053" s="83" t="s">
        <v>885</v>
      </c>
      <c r="H1053" s="83" t="s">
        <v>1360</v>
      </c>
      <c r="I1053" s="85">
        <f>Planejamento2024[[#This Row],[Qnt de Itens]]*Planejamento2024[[#This Row],[Valor unitário]]</f>
        <v>2556</v>
      </c>
      <c r="J1053" s="83" t="s">
        <v>20</v>
      </c>
      <c r="K1053" s="83" t="s">
        <v>478</v>
      </c>
      <c r="L1053" s="86">
        <v>45292</v>
      </c>
      <c r="M1053" s="83" t="s">
        <v>20</v>
      </c>
      <c r="N1053" s="87" t="s">
        <v>1361</v>
      </c>
      <c r="O1053" s="83" t="s">
        <v>827</v>
      </c>
    </row>
    <row r="1054" spans="1:15" ht="36">
      <c r="A1054" s="81">
        <f t="shared" si="16"/>
        <v>1053</v>
      </c>
      <c r="B1054" s="82" t="s">
        <v>1912</v>
      </c>
      <c r="C1054" s="83" t="s">
        <v>34</v>
      </c>
      <c r="D1054" s="83" t="s">
        <v>35</v>
      </c>
      <c r="E1054" s="84">
        <v>200</v>
      </c>
      <c r="F1054" s="85">
        <v>7.85</v>
      </c>
      <c r="G1054" s="83" t="s">
        <v>885</v>
      </c>
      <c r="H1054" s="83" t="s">
        <v>1360</v>
      </c>
      <c r="I1054" s="85">
        <f>Planejamento2024[[#This Row],[Qnt de Itens]]*Planejamento2024[[#This Row],[Valor unitário]]</f>
        <v>1570</v>
      </c>
      <c r="J1054" s="83" t="s">
        <v>20</v>
      </c>
      <c r="K1054" s="83" t="s">
        <v>478</v>
      </c>
      <c r="L1054" s="86">
        <v>45292</v>
      </c>
      <c r="M1054" s="83" t="s">
        <v>20</v>
      </c>
      <c r="N1054" s="87" t="s">
        <v>1361</v>
      </c>
      <c r="O1054" s="83" t="s">
        <v>827</v>
      </c>
    </row>
    <row r="1055" spans="1:15" ht="45">
      <c r="A1055" s="81">
        <f t="shared" si="16"/>
        <v>1054</v>
      </c>
      <c r="B1055" s="82" t="s">
        <v>1913</v>
      </c>
      <c r="C1055" s="83" t="s">
        <v>34</v>
      </c>
      <c r="D1055" s="83" t="s">
        <v>35</v>
      </c>
      <c r="E1055" s="84">
        <v>200</v>
      </c>
      <c r="F1055" s="85">
        <v>15.9</v>
      </c>
      <c r="G1055" s="83" t="s">
        <v>1496</v>
      </c>
      <c r="H1055" s="83" t="s">
        <v>1360</v>
      </c>
      <c r="I1055" s="85">
        <f>Planejamento2024[[#This Row],[Qnt de Itens]]*Planejamento2024[[#This Row],[Valor unitário]]</f>
        <v>3180</v>
      </c>
      <c r="J1055" s="83" t="s">
        <v>20</v>
      </c>
      <c r="K1055" s="83" t="s">
        <v>478</v>
      </c>
      <c r="L1055" s="86">
        <v>45292</v>
      </c>
      <c r="M1055" s="83" t="s">
        <v>20</v>
      </c>
      <c r="N1055" s="87" t="s">
        <v>1361</v>
      </c>
      <c r="O1055" s="83" t="s">
        <v>827</v>
      </c>
    </row>
    <row r="1056" spans="1:15" ht="54">
      <c r="A1056" s="81">
        <f t="shared" si="16"/>
        <v>1055</v>
      </c>
      <c r="B1056" s="82" t="s">
        <v>1914</v>
      </c>
      <c r="C1056" s="83" t="s">
        <v>34</v>
      </c>
      <c r="D1056" s="83" t="s">
        <v>35</v>
      </c>
      <c r="E1056" s="84">
        <v>200</v>
      </c>
      <c r="F1056" s="85">
        <v>6.34</v>
      </c>
      <c r="G1056" s="83" t="s">
        <v>885</v>
      </c>
      <c r="H1056" s="83" t="s">
        <v>1360</v>
      </c>
      <c r="I1056" s="85">
        <f>Planejamento2024[[#This Row],[Qnt de Itens]]*Planejamento2024[[#This Row],[Valor unitário]]</f>
        <v>1268</v>
      </c>
      <c r="J1056" s="83" t="s">
        <v>20</v>
      </c>
      <c r="K1056" s="83" t="s">
        <v>478</v>
      </c>
      <c r="L1056" s="86">
        <v>45292</v>
      </c>
      <c r="M1056" s="83" t="s">
        <v>20</v>
      </c>
      <c r="N1056" s="87" t="s">
        <v>1361</v>
      </c>
      <c r="O1056" s="83" t="s">
        <v>827</v>
      </c>
    </row>
    <row r="1057" spans="1:15" ht="18">
      <c r="A1057" s="81">
        <f t="shared" si="16"/>
        <v>1056</v>
      </c>
      <c r="B1057" s="82" t="s">
        <v>1915</v>
      </c>
      <c r="C1057" s="83" t="s">
        <v>34</v>
      </c>
      <c r="D1057" s="83" t="s">
        <v>35</v>
      </c>
      <c r="E1057" s="84">
        <v>500</v>
      </c>
      <c r="F1057" s="85">
        <v>32.549999999999997</v>
      </c>
      <c r="G1057" s="83" t="s">
        <v>885</v>
      </c>
      <c r="H1057" s="83" t="s">
        <v>1360</v>
      </c>
      <c r="I1057" s="85">
        <f>Planejamento2024[[#This Row],[Qnt de Itens]]*Planejamento2024[[#This Row],[Valor unitário]]</f>
        <v>16274.999999999998</v>
      </c>
      <c r="J1057" s="83" t="s">
        <v>20</v>
      </c>
      <c r="K1057" s="83" t="s">
        <v>478</v>
      </c>
      <c r="L1057" s="86">
        <v>45292</v>
      </c>
      <c r="M1057" s="83" t="s">
        <v>20</v>
      </c>
      <c r="N1057" s="87" t="s">
        <v>1361</v>
      </c>
      <c r="O1057" s="83" t="s">
        <v>827</v>
      </c>
    </row>
    <row r="1058" spans="1:15" ht="27">
      <c r="A1058" s="81">
        <f t="shared" si="16"/>
        <v>1057</v>
      </c>
      <c r="B1058" s="82" t="s">
        <v>1916</v>
      </c>
      <c r="C1058" s="83" t="s">
        <v>34</v>
      </c>
      <c r="D1058" s="83" t="s">
        <v>35</v>
      </c>
      <c r="E1058" s="84">
        <v>2000</v>
      </c>
      <c r="F1058" s="85">
        <v>2.3199999999999998</v>
      </c>
      <c r="G1058" s="83" t="s">
        <v>885</v>
      </c>
      <c r="H1058" s="83" t="s">
        <v>1360</v>
      </c>
      <c r="I1058" s="85">
        <f>Planejamento2024[[#This Row],[Qnt de Itens]]*Planejamento2024[[#This Row],[Valor unitário]]</f>
        <v>4640</v>
      </c>
      <c r="J1058" s="83" t="s">
        <v>20</v>
      </c>
      <c r="K1058" s="83" t="s">
        <v>478</v>
      </c>
      <c r="L1058" s="86">
        <v>45292</v>
      </c>
      <c r="M1058" s="83" t="s">
        <v>20</v>
      </c>
      <c r="N1058" s="87" t="s">
        <v>1361</v>
      </c>
      <c r="O1058" s="83" t="s">
        <v>827</v>
      </c>
    </row>
    <row r="1059" spans="1:15" ht="18">
      <c r="A1059" s="81">
        <f t="shared" si="16"/>
        <v>1058</v>
      </c>
      <c r="B1059" s="82" t="s">
        <v>1917</v>
      </c>
      <c r="C1059" s="83" t="s">
        <v>34</v>
      </c>
      <c r="D1059" s="83" t="s">
        <v>35</v>
      </c>
      <c r="E1059" s="84">
        <v>100</v>
      </c>
      <c r="F1059" s="85">
        <v>424.97</v>
      </c>
      <c r="G1059" s="83" t="s">
        <v>885</v>
      </c>
      <c r="H1059" s="83" t="s">
        <v>1360</v>
      </c>
      <c r="I1059" s="85">
        <f>Planejamento2024[[#This Row],[Qnt de Itens]]*Planejamento2024[[#This Row],[Valor unitário]]</f>
        <v>42497</v>
      </c>
      <c r="J1059" s="83" t="s">
        <v>20</v>
      </c>
      <c r="K1059" s="83" t="s">
        <v>478</v>
      </c>
      <c r="L1059" s="86">
        <v>45292</v>
      </c>
      <c r="M1059" s="83" t="s">
        <v>20</v>
      </c>
      <c r="N1059" s="87" t="s">
        <v>1361</v>
      </c>
      <c r="O1059" s="83" t="s">
        <v>827</v>
      </c>
    </row>
    <row r="1060" spans="1:15" ht="36">
      <c r="A1060" s="81">
        <f t="shared" si="16"/>
        <v>1059</v>
      </c>
      <c r="B1060" s="82" t="s">
        <v>1918</v>
      </c>
      <c r="C1060" s="83" t="s">
        <v>34</v>
      </c>
      <c r="D1060" s="83" t="s">
        <v>35</v>
      </c>
      <c r="E1060" s="84">
        <v>500</v>
      </c>
      <c r="F1060" s="85">
        <v>210.05</v>
      </c>
      <c r="G1060" s="83" t="s">
        <v>885</v>
      </c>
      <c r="H1060" s="83" t="s">
        <v>1360</v>
      </c>
      <c r="I1060" s="85">
        <f>Planejamento2024[[#This Row],[Qnt de Itens]]*Planejamento2024[[#This Row],[Valor unitário]]</f>
        <v>105025</v>
      </c>
      <c r="J1060" s="83" t="s">
        <v>20</v>
      </c>
      <c r="K1060" s="83" t="s">
        <v>478</v>
      </c>
      <c r="L1060" s="86">
        <v>45292</v>
      </c>
      <c r="M1060" s="83" t="s">
        <v>20</v>
      </c>
      <c r="N1060" s="87" t="s">
        <v>1361</v>
      </c>
      <c r="O1060" s="83" t="s">
        <v>827</v>
      </c>
    </row>
    <row r="1061" spans="1:15" ht="36">
      <c r="A1061" s="81">
        <f t="shared" si="16"/>
        <v>1060</v>
      </c>
      <c r="B1061" s="82" t="s">
        <v>1919</v>
      </c>
      <c r="C1061" s="83" t="s">
        <v>34</v>
      </c>
      <c r="D1061" s="83" t="s">
        <v>35</v>
      </c>
      <c r="E1061" s="84">
        <v>500</v>
      </c>
      <c r="F1061" s="85">
        <v>203.62</v>
      </c>
      <c r="G1061" s="83" t="s">
        <v>885</v>
      </c>
      <c r="H1061" s="83" t="s">
        <v>1360</v>
      </c>
      <c r="I1061" s="85">
        <f>Planejamento2024[[#This Row],[Qnt de Itens]]*Planejamento2024[[#This Row],[Valor unitário]]</f>
        <v>101810</v>
      </c>
      <c r="J1061" s="83" t="s">
        <v>20</v>
      </c>
      <c r="K1061" s="83" t="s">
        <v>478</v>
      </c>
      <c r="L1061" s="86">
        <v>45292</v>
      </c>
      <c r="M1061" s="83" t="s">
        <v>20</v>
      </c>
      <c r="N1061" s="87" t="s">
        <v>1361</v>
      </c>
      <c r="O1061" s="83" t="s">
        <v>827</v>
      </c>
    </row>
    <row r="1062" spans="1:15" ht="36">
      <c r="A1062" s="81">
        <f t="shared" si="16"/>
        <v>1061</v>
      </c>
      <c r="B1062" s="82" t="s">
        <v>1920</v>
      </c>
      <c r="C1062" s="83" t="s">
        <v>34</v>
      </c>
      <c r="D1062" s="83" t="s">
        <v>35</v>
      </c>
      <c r="E1062" s="84">
        <v>500</v>
      </c>
      <c r="F1062" s="85">
        <v>203.62</v>
      </c>
      <c r="G1062" s="83" t="s">
        <v>885</v>
      </c>
      <c r="H1062" s="83" t="s">
        <v>1360</v>
      </c>
      <c r="I1062" s="85">
        <f>Planejamento2024[[#This Row],[Qnt de Itens]]*Planejamento2024[[#This Row],[Valor unitário]]</f>
        <v>101810</v>
      </c>
      <c r="J1062" s="83" t="s">
        <v>20</v>
      </c>
      <c r="K1062" s="83" t="s">
        <v>478</v>
      </c>
      <c r="L1062" s="86">
        <v>45292</v>
      </c>
      <c r="M1062" s="83" t="s">
        <v>20</v>
      </c>
      <c r="N1062" s="87" t="s">
        <v>1361</v>
      </c>
      <c r="O1062" s="83" t="s">
        <v>827</v>
      </c>
    </row>
    <row r="1063" spans="1:15" ht="36">
      <c r="A1063" s="81">
        <f t="shared" si="16"/>
        <v>1062</v>
      </c>
      <c r="B1063" s="82" t="s">
        <v>1921</v>
      </c>
      <c r="C1063" s="83" t="s">
        <v>34</v>
      </c>
      <c r="D1063" s="83" t="s">
        <v>35</v>
      </c>
      <c r="E1063" s="84">
        <v>500</v>
      </c>
      <c r="F1063" s="85">
        <v>191.81</v>
      </c>
      <c r="G1063" s="83" t="s">
        <v>885</v>
      </c>
      <c r="H1063" s="83" t="s">
        <v>1360</v>
      </c>
      <c r="I1063" s="85">
        <f>Planejamento2024[[#This Row],[Qnt de Itens]]*Planejamento2024[[#This Row],[Valor unitário]]</f>
        <v>95905</v>
      </c>
      <c r="J1063" s="83" t="s">
        <v>20</v>
      </c>
      <c r="K1063" s="83" t="s">
        <v>478</v>
      </c>
      <c r="L1063" s="86">
        <v>45292</v>
      </c>
      <c r="M1063" s="83" t="s">
        <v>20</v>
      </c>
      <c r="N1063" s="87" t="s">
        <v>1361</v>
      </c>
      <c r="O1063" s="83" t="s">
        <v>827</v>
      </c>
    </row>
    <row r="1064" spans="1:15" ht="54">
      <c r="A1064" s="81">
        <f t="shared" si="16"/>
        <v>1063</v>
      </c>
      <c r="B1064" s="82" t="s">
        <v>1922</v>
      </c>
      <c r="C1064" s="83" t="s">
        <v>34</v>
      </c>
      <c r="D1064" s="83" t="s">
        <v>35</v>
      </c>
      <c r="E1064" s="84">
        <v>500</v>
      </c>
      <c r="F1064" s="85">
        <v>197.06</v>
      </c>
      <c r="G1064" s="83" t="s">
        <v>885</v>
      </c>
      <c r="H1064" s="83" t="s">
        <v>1360</v>
      </c>
      <c r="I1064" s="85">
        <f>Planejamento2024[[#This Row],[Qnt de Itens]]*Planejamento2024[[#This Row],[Valor unitário]]</f>
        <v>98530</v>
      </c>
      <c r="J1064" s="83" t="s">
        <v>20</v>
      </c>
      <c r="K1064" s="83" t="s">
        <v>478</v>
      </c>
      <c r="L1064" s="86">
        <v>45292</v>
      </c>
      <c r="M1064" s="83" t="s">
        <v>20</v>
      </c>
      <c r="N1064" s="87" t="s">
        <v>1361</v>
      </c>
      <c r="O1064" s="83" t="s">
        <v>827</v>
      </c>
    </row>
    <row r="1065" spans="1:15" ht="45">
      <c r="A1065" s="81">
        <f t="shared" si="16"/>
        <v>1064</v>
      </c>
      <c r="B1065" s="82" t="s">
        <v>1923</v>
      </c>
      <c r="C1065" s="83" t="s">
        <v>34</v>
      </c>
      <c r="D1065" s="83" t="s">
        <v>35</v>
      </c>
      <c r="E1065" s="84">
        <v>500</v>
      </c>
      <c r="F1065" s="85">
        <v>197.1</v>
      </c>
      <c r="G1065" s="83" t="s">
        <v>885</v>
      </c>
      <c r="H1065" s="83" t="s">
        <v>1360</v>
      </c>
      <c r="I1065" s="85">
        <f>Planejamento2024[[#This Row],[Qnt de Itens]]*Planejamento2024[[#This Row],[Valor unitário]]</f>
        <v>98550</v>
      </c>
      <c r="J1065" s="83" t="s">
        <v>20</v>
      </c>
      <c r="K1065" s="83" t="s">
        <v>478</v>
      </c>
      <c r="L1065" s="86">
        <v>45292</v>
      </c>
      <c r="M1065" s="83" t="s">
        <v>20</v>
      </c>
      <c r="N1065" s="87" t="s">
        <v>1361</v>
      </c>
      <c r="O1065" s="83" t="s">
        <v>827</v>
      </c>
    </row>
    <row r="1066" spans="1:15" ht="27">
      <c r="A1066" s="81">
        <f t="shared" si="16"/>
        <v>1065</v>
      </c>
      <c r="B1066" s="82" t="s">
        <v>1924</v>
      </c>
      <c r="C1066" s="83" t="s">
        <v>34</v>
      </c>
      <c r="D1066" s="83" t="s">
        <v>35</v>
      </c>
      <c r="E1066" s="84">
        <v>500</v>
      </c>
      <c r="F1066" s="85">
        <v>466.44</v>
      </c>
      <c r="G1066" s="83" t="s">
        <v>885</v>
      </c>
      <c r="H1066" s="83" t="s">
        <v>1360</v>
      </c>
      <c r="I1066" s="85">
        <f>Planejamento2024[[#This Row],[Qnt de Itens]]*Planejamento2024[[#This Row],[Valor unitário]]</f>
        <v>233220</v>
      </c>
      <c r="J1066" s="83" t="s">
        <v>20</v>
      </c>
      <c r="K1066" s="83" t="s">
        <v>478</v>
      </c>
      <c r="L1066" s="86">
        <v>45292</v>
      </c>
      <c r="M1066" s="83" t="s">
        <v>20</v>
      </c>
      <c r="N1066" s="87" t="s">
        <v>1361</v>
      </c>
      <c r="O1066" s="83" t="s">
        <v>827</v>
      </c>
    </row>
    <row r="1067" spans="1:15" ht="18">
      <c r="A1067" s="81">
        <f t="shared" si="16"/>
        <v>1066</v>
      </c>
      <c r="B1067" s="82" t="s">
        <v>1925</v>
      </c>
      <c r="C1067" s="83" t="s">
        <v>34</v>
      </c>
      <c r="D1067" s="83" t="s">
        <v>35</v>
      </c>
      <c r="E1067" s="84">
        <v>500</v>
      </c>
      <c r="F1067" s="85">
        <v>466.44</v>
      </c>
      <c r="G1067" s="83" t="s">
        <v>885</v>
      </c>
      <c r="H1067" s="83" t="s">
        <v>1360</v>
      </c>
      <c r="I1067" s="85">
        <f>Planejamento2024[[#This Row],[Qnt de Itens]]*Planejamento2024[[#This Row],[Valor unitário]]</f>
        <v>233220</v>
      </c>
      <c r="J1067" s="83" t="s">
        <v>20</v>
      </c>
      <c r="K1067" s="83" t="s">
        <v>478</v>
      </c>
      <c r="L1067" s="86">
        <v>45292</v>
      </c>
      <c r="M1067" s="83" t="s">
        <v>20</v>
      </c>
      <c r="N1067" s="87" t="s">
        <v>1361</v>
      </c>
      <c r="O1067" s="83" t="s">
        <v>827</v>
      </c>
    </row>
    <row r="1068" spans="1:15" ht="18">
      <c r="A1068" s="81">
        <f t="shared" si="16"/>
        <v>1067</v>
      </c>
      <c r="B1068" s="82" t="s">
        <v>1926</v>
      </c>
      <c r="C1068" s="83" t="s">
        <v>34</v>
      </c>
      <c r="D1068" s="83" t="s">
        <v>35</v>
      </c>
      <c r="E1068" s="84">
        <v>500</v>
      </c>
      <c r="F1068" s="85">
        <v>466.44</v>
      </c>
      <c r="G1068" s="83" t="s">
        <v>885</v>
      </c>
      <c r="H1068" s="83" t="s">
        <v>1360</v>
      </c>
      <c r="I1068" s="85">
        <f>Planejamento2024[[#This Row],[Qnt de Itens]]*Planejamento2024[[#This Row],[Valor unitário]]</f>
        <v>233220</v>
      </c>
      <c r="J1068" s="83" t="s">
        <v>20</v>
      </c>
      <c r="K1068" s="83" t="s">
        <v>478</v>
      </c>
      <c r="L1068" s="86">
        <v>45292</v>
      </c>
      <c r="M1068" s="83" t="s">
        <v>20</v>
      </c>
      <c r="N1068" s="87" t="s">
        <v>1361</v>
      </c>
      <c r="O1068" s="83" t="s">
        <v>827</v>
      </c>
    </row>
    <row r="1069" spans="1:15" ht="18">
      <c r="A1069" s="81">
        <f t="shared" si="16"/>
        <v>1068</v>
      </c>
      <c r="B1069" s="82" t="s">
        <v>1927</v>
      </c>
      <c r="C1069" s="83" t="s">
        <v>34</v>
      </c>
      <c r="D1069" s="83" t="s">
        <v>35</v>
      </c>
      <c r="E1069" s="84">
        <v>500</v>
      </c>
      <c r="F1069" s="85">
        <v>133.81</v>
      </c>
      <c r="G1069" s="83" t="s">
        <v>885</v>
      </c>
      <c r="H1069" s="83" t="s">
        <v>1360</v>
      </c>
      <c r="I1069" s="85">
        <f>Planejamento2024[[#This Row],[Qnt de Itens]]*Planejamento2024[[#This Row],[Valor unitário]]</f>
        <v>66905</v>
      </c>
      <c r="J1069" s="83" t="s">
        <v>20</v>
      </c>
      <c r="K1069" s="83" t="s">
        <v>478</v>
      </c>
      <c r="L1069" s="86">
        <v>45292</v>
      </c>
      <c r="M1069" s="83" t="s">
        <v>20</v>
      </c>
      <c r="N1069" s="87" t="s">
        <v>1361</v>
      </c>
      <c r="O1069" s="83" t="s">
        <v>827</v>
      </c>
    </row>
    <row r="1070" spans="1:15" ht="27">
      <c r="A1070" s="81">
        <f t="shared" si="16"/>
        <v>1069</v>
      </c>
      <c r="B1070" s="82" t="s">
        <v>1928</v>
      </c>
      <c r="C1070" s="83" t="s">
        <v>34</v>
      </c>
      <c r="D1070" s="83" t="s">
        <v>35</v>
      </c>
      <c r="E1070" s="84">
        <v>400</v>
      </c>
      <c r="F1070" s="85">
        <v>15.09</v>
      </c>
      <c r="G1070" s="83" t="s">
        <v>885</v>
      </c>
      <c r="H1070" s="83" t="s">
        <v>1360</v>
      </c>
      <c r="I1070" s="85">
        <f>Planejamento2024[[#This Row],[Qnt de Itens]]*Planejamento2024[[#This Row],[Valor unitário]]</f>
        <v>6036</v>
      </c>
      <c r="J1070" s="83" t="s">
        <v>20</v>
      </c>
      <c r="K1070" s="83" t="s">
        <v>478</v>
      </c>
      <c r="L1070" s="86">
        <v>45292</v>
      </c>
      <c r="M1070" s="83" t="s">
        <v>20</v>
      </c>
      <c r="N1070" s="87" t="s">
        <v>1361</v>
      </c>
      <c r="O1070" s="83" t="s">
        <v>827</v>
      </c>
    </row>
    <row r="1071" spans="1:15" ht="27">
      <c r="A1071" s="81">
        <f t="shared" si="16"/>
        <v>1070</v>
      </c>
      <c r="B1071" s="82" t="s">
        <v>1929</v>
      </c>
      <c r="C1071" s="83" t="s">
        <v>34</v>
      </c>
      <c r="D1071" s="83" t="s">
        <v>35</v>
      </c>
      <c r="E1071" s="84">
        <v>400</v>
      </c>
      <c r="F1071" s="85">
        <v>19.21</v>
      </c>
      <c r="G1071" s="83" t="s">
        <v>885</v>
      </c>
      <c r="H1071" s="83" t="s">
        <v>1360</v>
      </c>
      <c r="I1071" s="85">
        <f>Planejamento2024[[#This Row],[Qnt de Itens]]*Planejamento2024[[#This Row],[Valor unitário]]</f>
        <v>7684</v>
      </c>
      <c r="J1071" s="83" t="s">
        <v>20</v>
      </c>
      <c r="K1071" s="83" t="s">
        <v>478</v>
      </c>
      <c r="L1071" s="86">
        <v>45292</v>
      </c>
      <c r="M1071" s="83" t="s">
        <v>20</v>
      </c>
      <c r="N1071" s="87" t="s">
        <v>1361</v>
      </c>
      <c r="O1071" s="83" t="s">
        <v>827</v>
      </c>
    </row>
    <row r="1072" spans="1:15" ht="45">
      <c r="A1072" s="81">
        <f t="shared" si="16"/>
        <v>1071</v>
      </c>
      <c r="B1072" s="82" t="s">
        <v>1930</v>
      </c>
      <c r="C1072" s="83" t="s">
        <v>34</v>
      </c>
      <c r="D1072" s="83" t="s">
        <v>35</v>
      </c>
      <c r="E1072" s="84">
        <v>400</v>
      </c>
      <c r="F1072" s="85">
        <v>988.83</v>
      </c>
      <c r="G1072" s="83" t="s">
        <v>885</v>
      </c>
      <c r="H1072" s="83" t="s">
        <v>1360</v>
      </c>
      <c r="I1072" s="85">
        <f>Planejamento2024[[#This Row],[Qnt de Itens]]*Planejamento2024[[#This Row],[Valor unitário]]</f>
        <v>395532</v>
      </c>
      <c r="J1072" s="83" t="s">
        <v>20</v>
      </c>
      <c r="K1072" s="83" t="s">
        <v>478</v>
      </c>
      <c r="L1072" s="86">
        <v>45292</v>
      </c>
      <c r="M1072" s="83" t="s">
        <v>20</v>
      </c>
      <c r="N1072" s="87" t="s">
        <v>1361</v>
      </c>
      <c r="O1072" s="83" t="s">
        <v>827</v>
      </c>
    </row>
    <row r="1073" spans="1:15" ht="63">
      <c r="A1073" s="81">
        <f t="shared" si="16"/>
        <v>1072</v>
      </c>
      <c r="B1073" s="82" t="s">
        <v>1931</v>
      </c>
      <c r="C1073" s="83" t="s">
        <v>34</v>
      </c>
      <c r="D1073" s="83" t="s">
        <v>35</v>
      </c>
      <c r="E1073" s="84">
        <v>400</v>
      </c>
      <c r="F1073" s="85">
        <v>130.6</v>
      </c>
      <c r="G1073" s="83" t="s">
        <v>885</v>
      </c>
      <c r="H1073" s="83" t="s">
        <v>1360</v>
      </c>
      <c r="I1073" s="85">
        <f>Planejamento2024[[#This Row],[Qnt de Itens]]*Planejamento2024[[#This Row],[Valor unitário]]</f>
        <v>52240</v>
      </c>
      <c r="J1073" s="83" t="s">
        <v>20</v>
      </c>
      <c r="K1073" s="83" t="s">
        <v>478</v>
      </c>
      <c r="L1073" s="86">
        <v>45292</v>
      </c>
      <c r="M1073" s="83" t="s">
        <v>20</v>
      </c>
      <c r="N1073" s="87" t="s">
        <v>1361</v>
      </c>
      <c r="O1073" s="83" t="s">
        <v>827</v>
      </c>
    </row>
    <row r="1074" spans="1:15" ht="27">
      <c r="A1074" s="81">
        <f t="shared" si="16"/>
        <v>1073</v>
      </c>
      <c r="B1074" s="82" t="s">
        <v>1932</v>
      </c>
      <c r="C1074" s="83" t="s">
        <v>34</v>
      </c>
      <c r="D1074" s="83" t="s">
        <v>35</v>
      </c>
      <c r="E1074" s="84">
        <v>400</v>
      </c>
      <c r="F1074" s="85">
        <v>17.21</v>
      </c>
      <c r="G1074" s="83" t="s">
        <v>885</v>
      </c>
      <c r="H1074" s="83" t="s">
        <v>1360</v>
      </c>
      <c r="I1074" s="85">
        <f>Planejamento2024[[#This Row],[Qnt de Itens]]*Planejamento2024[[#This Row],[Valor unitário]]</f>
        <v>6884</v>
      </c>
      <c r="J1074" s="83" t="s">
        <v>20</v>
      </c>
      <c r="K1074" s="83" t="s">
        <v>478</v>
      </c>
      <c r="L1074" s="86">
        <v>45292</v>
      </c>
      <c r="M1074" s="83" t="s">
        <v>20</v>
      </c>
      <c r="N1074" s="87" t="s">
        <v>1361</v>
      </c>
      <c r="O1074" s="83" t="s">
        <v>827</v>
      </c>
    </row>
    <row r="1075" spans="1:15" ht="27">
      <c r="A1075" s="81">
        <f t="shared" si="16"/>
        <v>1074</v>
      </c>
      <c r="B1075" s="82" t="s">
        <v>1933</v>
      </c>
      <c r="C1075" s="83" t="s">
        <v>34</v>
      </c>
      <c r="D1075" s="83" t="s">
        <v>35</v>
      </c>
      <c r="E1075" s="84">
        <v>300</v>
      </c>
      <c r="F1075" s="85">
        <v>123.59</v>
      </c>
      <c r="G1075" s="83" t="s">
        <v>885</v>
      </c>
      <c r="H1075" s="83" t="s">
        <v>1360</v>
      </c>
      <c r="I1075" s="85">
        <f>Planejamento2024[[#This Row],[Qnt de Itens]]*Planejamento2024[[#This Row],[Valor unitário]]</f>
        <v>37077</v>
      </c>
      <c r="J1075" s="83" t="s">
        <v>20</v>
      </c>
      <c r="K1075" s="83" t="s">
        <v>478</v>
      </c>
      <c r="L1075" s="86">
        <v>45292</v>
      </c>
      <c r="M1075" s="83" t="s">
        <v>20</v>
      </c>
      <c r="N1075" s="87" t="s">
        <v>1361</v>
      </c>
      <c r="O1075" s="83" t="s">
        <v>827</v>
      </c>
    </row>
    <row r="1076" spans="1:15" ht="27">
      <c r="A1076" s="81">
        <f t="shared" si="16"/>
        <v>1075</v>
      </c>
      <c r="B1076" s="82" t="s">
        <v>1934</v>
      </c>
      <c r="C1076" s="83" t="s">
        <v>34</v>
      </c>
      <c r="D1076" s="83" t="s">
        <v>35</v>
      </c>
      <c r="E1076" s="84">
        <v>200</v>
      </c>
      <c r="F1076" s="85">
        <v>111.06</v>
      </c>
      <c r="G1076" s="83" t="s">
        <v>885</v>
      </c>
      <c r="H1076" s="83" t="s">
        <v>1360</v>
      </c>
      <c r="I1076" s="85">
        <f>Planejamento2024[[#This Row],[Qnt de Itens]]*Planejamento2024[[#This Row],[Valor unitário]]</f>
        <v>22212</v>
      </c>
      <c r="J1076" s="83" t="s">
        <v>20</v>
      </c>
      <c r="K1076" s="83" t="s">
        <v>478</v>
      </c>
      <c r="L1076" s="86">
        <v>45292</v>
      </c>
      <c r="M1076" s="83" t="s">
        <v>20</v>
      </c>
      <c r="N1076" s="87" t="s">
        <v>1361</v>
      </c>
      <c r="O1076" s="83" t="s">
        <v>827</v>
      </c>
    </row>
    <row r="1077" spans="1:15" ht="27">
      <c r="A1077" s="81">
        <f t="shared" si="16"/>
        <v>1076</v>
      </c>
      <c r="B1077" s="82" t="s">
        <v>1935</v>
      </c>
      <c r="C1077" s="83" t="s">
        <v>34</v>
      </c>
      <c r="D1077" s="83" t="s">
        <v>35</v>
      </c>
      <c r="E1077" s="84">
        <v>300</v>
      </c>
      <c r="F1077" s="85">
        <v>128.85</v>
      </c>
      <c r="G1077" s="83" t="s">
        <v>885</v>
      </c>
      <c r="H1077" s="83" t="s">
        <v>1360</v>
      </c>
      <c r="I1077" s="85">
        <f>Planejamento2024[[#This Row],[Qnt de Itens]]*Planejamento2024[[#This Row],[Valor unitário]]</f>
        <v>38655</v>
      </c>
      <c r="J1077" s="83" t="s">
        <v>20</v>
      </c>
      <c r="K1077" s="83" t="s">
        <v>478</v>
      </c>
      <c r="L1077" s="86">
        <v>45292</v>
      </c>
      <c r="M1077" s="83" t="s">
        <v>20</v>
      </c>
      <c r="N1077" s="87" t="s">
        <v>1361</v>
      </c>
      <c r="O1077" s="83" t="s">
        <v>827</v>
      </c>
    </row>
    <row r="1078" spans="1:15" ht="27">
      <c r="A1078" s="81">
        <f t="shared" si="16"/>
        <v>1077</v>
      </c>
      <c r="B1078" s="82" t="s">
        <v>1936</v>
      </c>
      <c r="C1078" s="83" t="s">
        <v>34</v>
      </c>
      <c r="D1078" s="83" t="s">
        <v>35</v>
      </c>
      <c r="E1078" s="84">
        <v>200</v>
      </c>
      <c r="F1078" s="85">
        <v>125.36</v>
      </c>
      <c r="G1078" s="83" t="s">
        <v>885</v>
      </c>
      <c r="H1078" s="83" t="s">
        <v>1360</v>
      </c>
      <c r="I1078" s="85">
        <f>Planejamento2024[[#This Row],[Qnt de Itens]]*Planejamento2024[[#This Row],[Valor unitário]]</f>
        <v>25072</v>
      </c>
      <c r="J1078" s="83" t="s">
        <v>20</v>
      </c>
      <c r="K1078" s="83" t="s">
        <v>478</v>
      </c>
      <c r="L1078" s="86">
        <v>45292</v>
      </c>
      <c r="M1078" s="83" t="s">
        <v>20</v>
      </c>
      <c r="N1078" s="87" t="s">
        <v>1361</v>
      </c>
      <c r="O1078" s="83" t="s">
        <v>827</v>
      </c>
    </row>
    <row r="1079" spans="1:15" ht="45">
      <c r="A1079" s="81">
        <f t="shared" si="16"/>
        <v>1078</v>
      </c>
      <c r="B1079" s="82" t="s">
        <v>1937</v>
      </c>
      <c r="C1079" s="83" t="s">
        <v>34</v>
      </c>
      <c r="D1079" s="83" t="s">
        <v>35</v>
      </c>
      <c r="E1079" s="84">
        <v>200</v>
      </c>
      <c r="F1079" s="85">
        <v>319.87</v>
      </c>
      <c r="G1079" s="83" t="s">
        <v>885</v>
      </c>
      <c r="H1079" s="83" t="s">
        <v>1360</v>
      </c>
      <c r="I1079" s="85">
        <f>Planejamento2024[[#This Row],[Qnt de Itens]]*Planejamento2024[[#This Row],[Valor unitário]]</f>
        <v>63974</v>
      </c>
      <c r="J1079" s="83" t="s">
        <v>20</v>
      </c>
      <c r="K1079" s="83" t="s">
        <v>478</v>
      </c>
      <c r="L1079" s="86">
        <v>45292</v>
      </c>
      <c r="M1079" s="83" t="s">
        <v>20</v>
      </c>
      <c r="N1079" s="87" t="s">
        <v>1361</v>
      </c>
      <c r="O1079" s="83" t="s">
        <v>827</v>
      </c>
    </row>
    <row r="1080" spans="1:15" ht="18">
      <c r="A1080" s="81">
        <f t="shared" si="16"/>
        <v>1079</v>
      </c>
      <c r="B1080" s="82" t="s">
        <v>1938</v>
      </c>
      <c r="C1080" s="83" t="s">
        <v>34</v>
      </c>
      <c r="D1080" s="83" t="s">
        <v>35</v>
      </c>
      <c r="E1080" s="84">
        <v>300</v>
      </c>
      <c r="F1080" s="85">
        <v>102.88</v>
      </c>
      <c r="G1080" s="83" t="s">
        <v>885</v>
      </c>
      <c r="H1080" s="83" t="s">
        <v>1360</v>
      </c>
      <c r="I1080" s="85">
        <f>Planejamento2024[[#This Row],[Qnt de Itens]]*Planejamento2024[[#This Row],[Valor unitário]]</f>
        <v>30864</v>
      </c>
      <c r="J1080" s="83" t="s">
        <v>20</v>
      </c>
      <c r="K1080" s="83" t="s">
        <v>478</v>
      </c>
      <c r="L1080" s="86">
        <v>45292</v>
      </c>
      <c r="M1080" s="83" t="s">
        <v>20</v>
      </c>
      <c r="N1080" s="87" t="s">
        <v>1361</v>
      </c>
      <c r="O1080" s="83" t="s">
        <v>827</v>
      </c>
    </row>
    <row r="1081" spans="1:15" ht="27">
      <c r="A1081" s="81">
        <f t="shared" si="16"/>
        <v>1080</v>
      </c>
      <c r="B1081" s="82" t="s">
        <v>1939</v>
      </c>
      <c r="C1081" s="83" t="s">
        <v>34</v>
      </c>
      <c r="D1081" s="83" t="s">
        <v>35</v>
      </c>
      <c r="E1081" s="84">
        <v>300</v>
      </c>
      <c r="F1081" s="85">
        <v>62.08</v>
      </c>
      <c r="G1081" s="83" t="s">
        <v>885</v>
      </c>
      <c r="H1081" s="83" t="s">
        <v>1360</v>
      </c>
      <c r="I1081" s="85">
        <f>Planejamento2024[[#This Row],[Qnt de Itens]]*Planejamento2024[[#This Row],[Valor unitário]]</f>
        <v>18624</v>
      </c>
      <c r="J1081" s="83" t="s">
        <v>20</v>
      </c>
      <c r="K1081" s="83" t="s">
        <v>478</v>
      </c>
      <c r="L1081" s="86">
        <v>45292</v>
      </c>
      <c r="M1081" s="83" t="s">
        <v>20</v>
      </c>
      <c r="N1081" s="87" t="s">
        <v>1361</v>
      </c>
      <c r="O1081" s="83" t="s">
        <v>827</v>
      </c>
    </row>
    <row r="1082" spans="1:15" ht="27">
      <c r="A1082" s="81">
        <f t="shared" si="16"/>
        <v>1081</v>
      </c>
      <c r="B1082" s="82" t="s">
        <v>1940</v>
      </c>
      <c r="C1082" s="83" t="s">
        <v>34</v>
      </c>
      <c r="D1082" s="83" t="s">
        <v>35</v>
      </c>
      <c r="E1082" s="84">
        <v>300</v>
      </c>
      <c r="F1082" s="85">
        <v>108.74</v>
      </c>
      <c r="G1082" s="83" t="s">
        <v>885</v>
      </c>
      <c r="H1082" s="83" t="s">
        <v>1360</v>
      </c>
      <c r="I1082" s="85">
        <f>Planejamento2024[[#This Row],[Qnt de Itens]]*Planejamento2024[[#This Row],[Valor unitário]]</f>
        <v>32622</v>
      </c>
      <c r="J1082" s="83" t="s">
        <v>20</v>
      </c>
      <c r="K1082" s="83" t="s">
        <v>478</v>
      </c>
      <c r="L1082" s="86">
        <v>45292</v>
      </c>
      <c r="M1082" s="83" t="s">
        <v>20</v>
      </c>
      <c r="N1082" s="87" t="s">
        <v>1361</v>
      </c>
      <c r="O1082" s="83" t="s">
        <v>827</v>
      </c>
    </row>
    <row r="1083" spans="1:15" ht="18">
      <c r="A1083" s="81">
        <f t="shared" si="16"/>
        <v>1082</v>
      </c>
      <c r="B1083" s="82" t="s">
        <v>1941</v>
      </c>
      <c r="C1083" s="83" t="s">
        <v>34</v>
      </c>
      <c r="D1083" s="83" t="s">
        <v>35</v>
      </c>
      <c r="E1083" s="84">
        <v>50</v>
      </c>
      <c r="F1083" s="85">
        <v>88.29</v>
      </c>
      <c r="G1083" s="83" t="s">
        <v>885</v>
      </c>
      <c r="H1083" s="83" t="s">
        <v>1360</v>
      </c>
      <c r="I1083" s="85">
        <f>Planejamento2024[[#This Row],[Qnt de Itens]]*Planejamento2024[[#This Row],[Valor unitário]]</f>
        <v>4414.5</v>
      </c>
      <c r="J1083" s="83" t="s">
        <v>20</v>
      </c>
      <c r="K1083" s="83" t="s">
        <v>478</v>
      </c>
      <c r="L1083" s="86">
        <v>45292</v>
      </c>
      <c r="M1083" s="83" t="s">
        <v>20</v>
      </c>
      <c r="N1083" s="87" t="s">
        <v>1361</v>
      </c>
      <c r="O1083" s="83" t="s">
        <v>827</v>
      </c>
    </row>
    <row r="1084" spans="1:15" ht="18">
      <c r="A1084" s="81">
        <f t="shared" si="16"/>
        <v>1083</v>
      </c>
      <c r="B1084" s="82" t="s">
        <v>1942</v>
      </c>
      <c r="C1084" s="83" t="s">
        <v>34</v>
      </c>
      <c r="D1084" s="83" t="s">
        <v>35</v>
      </c>
      <c r="E1084" s="84">
        <v>500</v>
      </c>
      <c r="F1084" s="85">
        <v>498.68</v>
      </c>
      <c r="G1084" s="83" t="s">
        <v>885</v>
      </c>
      <c r="H1084" s="83" t="s">
        <v>1360</v>
      </c>
      <c r="I1084" s="85">
        <f>Planejamento2024[[#This Row],[Qnt de Itens]]*Planejamento2024[[#This Row],[Valor unitário]]</f>
        <v>249340</v>
      </c>
      <c r="J1084" s="83" t="s">
        <v>20</v>
      </c>
      <c r="K1084" s="83" t="s">
        <v>478</v>
      </c>
      <c r="L1084" s="86">
        <v>45292</v>
      </c>
      <c r="M1084" s="83" t="s">
        <v>20</v>
      </c>
      <c r="N1084" s="87" t="s">
        <v>1361</v>
      </c>
      <c r="O1084" s="83" t="s">
        <v>827</v>
      </c>
    </row>
    <row r="1085" spans="1:15" ht="18">
      <c r="A1085" s="81">
        <f t="shared" si="16"/>
        <v>1084</v>
      </c>
      <c r="B1085" s="82" t="s">
        <v>1943</v>
      </c>
      <c r="C1085" s="83" t="s">
        <v>34</v>
      </c>
      <c r="D1085" s="83" t="s">
        <v>35</v>
      </c>
      <c r="E1085" s="84">
        <v>100</v>
      </c>
      <c r="F1085" s="85">
        <v>300.39999999999998</v>
      </c>
      <c r="G1085" s="83" t="s">
        <v>885</v>
      </c>
      <c r="H1085" s="83" t="s">
        <v>1360</v>
      </c>
      <c r="I1085" s="85">
        <f>Planejamento2024[[#This Row],[Qnt de Itens]]*Planejamento2024[[#This Row],[Valor unitário]]</f>
        <v>30039.999999999996</v>
      </c>
      <c r="J1085" s="83" t="s">
        <v>20</v>
      </c>
      <c r="K1085" s="83" t="s">
        <v>478</v>
      </c>
      <c r="L1085" s="86">
        <v>45292</v>
      </c>
      <c r="M1085" s="83" t="s">
        <v>20</v>
      </c>
      <c r="N1085" s="87" t="s">
        <v>1361</v>
      </c>
      <c r="O1085" s="83" t="s">
        <v>827</v>
      </c>
    </row>
    <row r="1086" spans="1:15" ht="18">
      <c r="A1086" s="81">
        <f t="shared" si="16"/>
        <v>1085</v>
      </c>
      <c r="B1086" s="82" t="s">
        <v>1944</v>
      </c>
      <c r="C1086" s="83" t="s">
        <v>34</v>
      </c>
      <c r="D1086" s="83" t="s">
        <v>35</v>
      </c>
      <c r="E1086" s="84">
        <v>100</v>
      </c>
      <c r="F1086" s="85">
        <v>385.75</v>
      </c>
      <c r="G1086" s="83" t="s">
        <v>885</v>
      </c>
      <c r="H1086" s="83" t="s">
        <v>1360</v>
      </c>
      <c r="I1086" s="85">
        <f>Planejamento2024[[#This Row],[Qnt de Itens]]*Planejamento2024[[#This Row],[Valor unitário]]</f>
        <v>38575</v>
      </c>
      <c r="J1086" s="83" t="s">
        <v>20</v>
      </c>
      <c r="K1086" s="83" t="s">
        <v>478</v>
      </c>
      <c r="L1086" s="86">
        <v>45292</v>
      </c>
      <c r="M1086" s="83" t="s">
        <v>20</v>
      </c>
      <c r="N1086" s="87" t="s">
        <v>1361</v>
      </c>
      <c r="O1086" s="83" t="s">
        <v>827</v>
      </c>
    </row>
    <row r="1087" spans="1:15" ht="18">
      <c r="A1087" s="81">
        <f t="shared" si="16"/>
        <v>1086</v>
      </c>
      <c r="B1087" s="82" t="s">
        <v>1945</v>
      </c>
      <c r="C1087" s="83" t="s">
        <v>34</v>
      </c>
      <c r="D1087" s="83" t="s">
        <v>35</v>
      </c>
      <c r="E1087" s="84">
        <v>100</v>
      </c>
      <c r="F1087" s="85">
        <v>269.39</v>
      </c>
      <c r="G1087" s="83" t="s">
        <v>885</v>
      </c>
      <c r="H1087" s="83" t="s">
        <v>1360</v>
      </c>
      <c r="I1087" s="85">
        <f>Planejamento2024[[#This Row],[Qnt de Itens]]*Planejamento2024[[#This Row],[Valor unitário]]</f>
        <v>26939</v>
      </c>
      <c r="J1087" s="83" t="s">
        <v>20</v>
      </c>
      <c r="K1087" s="83" t="s">
        <v>478</v>
      </c>
      <c r="L1087" s="86">
        <v>45292</v>
      </c>
      <c r="M1087" s="83" t="s">
        <v>20</v>
      </c>
      <c r="N1087" s="87" t="s">
        <v>1361</v>
      </c>
      <c r="O1087" s="83" t="s">
        <v>827</v>
      </c>
    </row>
    <row r="1088" spans="1:15" ht="18">
      <c r="A1088" s="81">
        <f t="shared" si="16"/>
        <v>1087</v>
      </c>
      <c r="B1088" s="82" t="s">
        <v>1946</v>
      </c>
      <c r="C1088" s="83" t="s">
        <v>34</v>
      </c>
      <c r="D1088" s="83" t="s">
        <v>35</v>
      </c>
      <c r="E1088" s="84">
        <v>50</v>
      </c>
      <c r="F1088" s="85">
        <v>44.12</v>
      </c>
      <c r="G1088" s="83" t="s">
        <v>885</v>
      </c>
      <c r="H1088" s="83" t="s">
        <v>1360</v>
      </c>
      <c r="I1088" s="85">
        <f>Planejamento2024[[#This Row],[Qnt de Itens]]*Planejamento2024[[#This Row],[Valor unitário]]</f>
        <v>2206</v>
      </c>
      <c r="J1088" s="83" t="s">
        <v>20</v>
      </c>
      <c r="K1088" s="83" t="s">
        <v>478</v>
      </c>
      <c r="L1088" s="86">
        <v>45292</v>
      </c>
      <c r="M1088" s="83" t="s">
        <v>20</v>
      </c>
      <c r="N1088" s="87" t="s">
        <v>1361</v>
      </c>
      <c r="O1088" s="83" t="s">
        <v>827</v>
      </c>
    </row>
    <row r="1089" spans="1:15" ht="18">
      <c r="A1089" s="81">
        <f t="shared" si="16"/>
        <v>1088</v>
      </c>
      <c r="B1089" s="82" t="s">
        <v>1947</v>
      </c>
      <c r="C1089" s="83" t="s">
        <v>34</v>
      </c>
      <c r="D1089" s="83" t="s">
        <v>35</v>
      </c>
      <c r="E1089" s="84">
        <v>2000</v>
      </c>
      <c r="F1089" s="85">
        <v>89.41</v>
      </c>
      <c r="G1089" s="83" t="s">
        <v>885</v>
      </c>
      <c r="H1089" s="83" t="s">
        <v>1360</v>
      </c>
      <c r="I1089" s="85">
        <f>Planejamento2024[[#This Row],[Qnt de Itens]]*Planejamento2024[[#This Row],[Valor unitário]]</f>
        <v>178820</v>
      </c>
      <c r="J1089" s="83" t="s">
        <v>20</v>
      </c>
      <c r="K1089" s="83" t="s">
        <v>478</v>
      </c>
      <c r="L1089" s="86">
        <v>45292</v>
      </c>
      <c r="M1089" s="83" t="s">
        <v>20</v>
      </c>
      <c r="N1089" s="87" t="s">
        <v>1361</v>
      </c>
      <c r="O1089" s="83" t="s">
        <v>827</v>
      </c>
    </row>
    <row r="1090" spans="1:15" ht="18">
      <c r="A1090" s="81">
        <f t="shared" ref="A1090:A1153" si="17">ROW(A1089)</f>
        <v>1089</v>
      </c>
      <c r="B1090" s="82" t="s">
        <v>1948</v>
      </c>
      <c r="C1090" s="83" t="s">
        <v>34</v>
      </c>
      <c r="D1090" s="83" t="s">
        <v>35</v>
      </c>
      <c r="E1090" s="84">
        <v>200</v>
      </c>
      <c r="F1090" s="85">
        <v>10.5</v>
      </c>
      <c r="G1090" s="83" t="s">
        <v>885</v>
      </c>
      <c r="H1090" s="83" t="s">
        <v>1360</v>
      </c>
      <c r="I1090" s="85">
        <f>Planejamento2024[[#This Row],[Qnt de Itens]]*Planejamento2024[[#This Row],[Valor unitário]]</f>
        <v>2100</v>
      </c>
      <c r="J1090" s="83" t="s">
        <v>20</v>
      </c>
      <c r="K1090" s="83" t="s">
        <v>478</v>
      </c>
      <c r="L1090" s="86">
        <v>45292</v>
      </c>
      <c r="M1090" s="83" t="s">
        <v>20</v>
      </c>
      <c r="N1090" s="87" t="s">
        <v>1361</v>
      </c>
      <c r="O1090" s="83" t="s">
        <v>827</v>
      </c>
    </row>
    <row r="1091" spans="1:15" ht="18">
      <c r="A1091" s="81">
        <f t="shared" si="17"/>
        <v>1090</v>
      </c>
      <c r="B1091" s="82" t="s">
        <v>1949</v>
      </c>
      <c r="C1091" s="83" t="s">
        <v>34</v>
      </c>
      <c r="D1091" s="83" t="s">
        <v>35</v>
      </c>
      <c r="E1091" s="84">
        <v>200</v>
      </c>
      <c r="F1091" s="85">
        <v>14.21</v>
      </c>
      <c r="G1091" s="83" t="s">
        <v>885</v>
      </c>
      <c r="H1091" s="83" t="s">
        <v>1360</v>
      </c>
      <c r="I1091" s="85">
        <f>Planejamento2024[[#This Row],[Qnt de Itens]]*Planejamento2024[[#This Row],[Valor unitário]]</f>
        <v>2842</v>
      </c>
      <c r="J1091" s="83" t="s">
        <v>20</v>
      </c>
      <c r="K1091" s="83" t="s">
        <v>478</v>
      </c>
      <c r="L1091" s="86">
        <v>45292</v>
      </c>
      <c r="M1091" s="83" t="s">
        <v>20</v>
      </c>
      <c r="N1091" s="87" t="s">
        <v>1361</v>
      </c>
      <c r="O1091" s="83" t="s">
        <v>827</v>
      </c>
    </row>
    <row r="1092" spans="1:15" ht="18">
      <c r="A1092" s="81">
        <f t="shared" si="17"/>
        <v>1091</v>
      </c>
      <c r="B1092" s="82" t="s">
        <v>1950</v>
      </c>
      <c r="C1092" s="83" t="s">
        <v>34</v>
      </c>
      <c r="D1092" s="83" t="s">
        <v>35</v>
      </c>
      <c r="E1092" s="84">
        <v>50</v>
      </c>
      <c r="F1092" s="85">
        <v>15.14</v>
      </c>
      <c r="G1092" s="83" t="s">
        <v>885</v>
      </c>
      <c r="H1092" s="83" t="s">
        <v>1360</v>
      </c>
      <c r="I1092" s="85">
        <f>Planejamento2024[[#This Row],[Qnt de Itens]]*Planejamento2024[[#This Row],[Valor unitário]]</f>
        <v>757</v>
      </c>
      <c r="J1092" s="83" t="s">
        <v>20</v>
      </c>
      <c r="K1092" s="83" t="s">
        <v>478</v>
      </c>
      <c r="L1092" s="86">
        <v>45292</v>
      </c>
      <c r="M1092" s="83" t="s">
        <v>20</v>
      </c>
      <c r="N1092" s="87" t="s">
        <v>1361</v>
      </c>
      <c r="O1092" s="83" t="s">
        <v>827</v>
      </c>
    </row>
    <row r="1093" spans="1:15" ht="18">
      <c r="A1093" s="81">
        <f t="shared" si="17"/>
        <v>1092</v>
      </c>
      <c r="B1093" s="82" t="s">
        <v>1951</v>
      </c>
      <c r="C1093" s="83" t="s">
        <v>34</v>
      </c>
      <c r="D1093" s="83" t="s">
        <v>35</v>
      </c>
      <c r="E1093" s="84">
        <v>50</v>
      </c>
      <c r="F1093" s="85">
        <v>25.46</v>
      </c>
      <c r="G1093" s="83" t="s">
        <v>885</v>
      </c>
      <c r="H1093" s="83" t="s">
        <v>1360</v>
      </c>
      <c r="I1093" s="85">
        <f>Planejamento2024[[#This Row],[Qnt de Itens]]*Planejamento2024[[#This Row],[Valor unitário]]</f>
        <v>1273</v>
      </c>
      <c r="J1093" s="83" t="s">
        <v>20</v>
      </c>
      <c r="K1093" s="83" t="s">
        <v>478</v>
      </c>
      <c r="L1093" s="86">
        <v>45292</v>
      </c>
      <c r="M1093" s="83" t="s">
        <v>20</v>
      </c>
      <c r="N1093" s="87" t="s">
        <v>1361</v>
      </c>
      <c r="O1093" s="83" t="s">
        <v>827</v>
      </c>
    </row>
    <row r="1094" spans="1:15" ht="18">
      <c r="A1094" s="81">
        <f t="shared" si="17"/>
        <v>1093</v>
      </c>
      <c r="B1094" s="82" t="s">
        <v>1952</v>
      </c>
      <c r="C1094" s="83" t="s">
        <v>34</v>
      </c>
      <c r="D1094" s="83" t="s">
        <v>35</v>
      </c>
      <c r="E1094" s="84">
        <v>200</v>
      </c>
      <c r="F1094" s="85">
        <v>183.98</v>
      </c>
      <c r="G1094" s="83" t="s">
        <v>885</v>
      </c>
      <c r="H1094" s="83" t="s">
        <v>1360</v>
      </c>
      <c r="I1094" s="85">
        <f>Planejamento2024[[#This Row],[Qnt de Itens]]*Planejamento2024[[#This Row],[Valor unitário]]</f>
        <v>36796</v>
      </c>
      <c r="J1094" s="83" t="s">
        <v>20</v>
      </c>
      <c r="K1094" s="83" t="s">
        <v>478</v>
      </c>
      <c r="L1094" s="86">
        <v>45292</v>
      </c>
      <c r="M1094" s="83" t="s">
        <v>20</v>
      </c>
      <c r="N1094" s="87" t="s">
        <v>1361</v>
      </c>
      <c r="O1094" s="83" t="s">
        <v>827</v>
      </c>
    </row>
    <row r="1095" spans="1:15" ht="18">
      <c r="A1095" s="81">
        <f t="shared" si="17"/>
        <v>1094</v>
      </c>
      <c r="B1095" s="82" t="s">
        <v>1953</v>
      </c>
      <c r="C1095" s="83" t="s">
        <v>34</v>
      </c>
      <c r="D1095" s="83" t="s">
        <v>35</v>
      </c>
      <c r="E1095" s="84">
        <v>200</v>
      </c>
      <c r="F1095" s="85">
        <v>98.53</v>
      </c>
      <c r="G1095" s="83" t="s">
        <v>885</v>
      </c>
      <c r="H1095" s="83" t="s">
        <v>1360</v>
      </c>
      <c r="I1095" s="85">
        <f>Planejamento2024[[#This Row],[Qnt de Itens]]*Planejamento2024[[#This Row],[Valor unitário]]</f>
        <v>19706</v>
      </c>
      <c r="J1095" s="83" t="s">
        <v>20</v>
      </c>
      <c r="K1095" s="83" t="s">
        <v>478</v>
      </c>
      <c r="L1095" s="86">
        <v>45292</v>
      </c>
      <c r="M1095" s="83" t="s">
        <v>20</v>
      </c>
      <c r="N1095" s="87" t="s">
        <v>1361</v>
      </c>
      <c r="O1095" s="83" t="s">
        <v>827</v>
      </c>
    </row>
    <row r="1096" spans="1:15" ht="18">
      <c r="A1096" s="81">
        <f t="shared" si="17"/>
        <v>1095</v>
      </c>
      <c r="B1096" s="82" t="s">
        <v>1954</v>
      </c>
      <c r="C1096" s="83" t="s">
        <v>34</v>
      </c>
      <c r="D1096" s="83" t="s">
        <v>35</v>
      </c>
      <c r="E1096" s="84">
        <v>100</v>
      </c>
      <c r="F1096" s="85">
        <v>161.32</v>
      </c>
      <c r="G1096" s="83" t="s">
        <v>885</v>
      </c>
      <c r="H1096" s="83" t="s">
        <v>1360</v>
      </c>
      <c r="I1096" s="85">
        <f>Planejamento2024[[#This Row],[Qnt de Itens]]*Planejamento2024[[#This Row],[Valor unitário]]</f>
        <v>16132</v>
      </c>
      <c r="J1096" s="83" t="s">
        <v>20</v>
      </c>
      <c r="K1096" s="83" t="s">
        <v>478</v>
      </c>
      <c r="L1096" s="86">
        <v>45292</v>
      </c>
      <c r="M1096" s="83" t="s">
        <v>20</v>
      </c>
      <c r="N1096" s="87" t="s">
        <v>1361</v>
      </c>
      <c r="O1096" s="83" t="s">
        <v>827</v>
      </c>
    </row>
    <row r="1097" spans="1:15" ht="54">
      <c r="A1097" s="81">
        <f t="shared" si="17"/>
        <v>1096</v>
      </c>
      <c r="B1097" s="82" t="s">
        <v>1955</v>
      </c>
      <c r="C1097" s="83" t="s">
        <v>34</v>
      </c>
      <c r="D1097" s="83" t="s">
        <v>35</v>
      </c>
      <c r="E1097" s="84">
        <v>200</v>
      </c>
      <c r="F1097" s="85">
        <v>45.5</v>
      </c>
      <c r="G1097" s="83" t="s">
        <v>885</v>
      </c>
      <c r="H1097" s="83" t="s">
        <v>1360</v>
      </c>
      <c r="I1097" s="85">
        <f>Planejamento2024[[#This Row],[Qnt de Itens]]*Planejamento2024[[#This Row],[Valor unitário]]</f>
        <v>9100</v>
      </c>
      <c r="J1097" s="83" t="s">
        <v>20</v>
      </c>
      <c r="K1097" s="83" t="s">
        <v>478</v>
      </c>
      <c r="L1097" s="86">
        <v>45292</v>
      </c>
      <c r="M1097" s="83" t="s">
        <v>20</v>
      </c>
      <c r="N1097" s="87" t="s">
        <v>1361</v>
      </c>
      <c r="O1097" s="83" t="s">
        <v>827</v>
      </c>
    </row>
    <row r="1098" spans="1:15" ht="27">
      <c r="A1098" s="81">
        <f t="shared" si="17"/>
        <v>1097</v>
      </c>
      <c r="B1098" s="82" t="s">
        <v>1956</v>
      </c>
      <c r="C1098" s="83" t="s">
        <v>34</v>
      </c>
      <c r="D1098" s="83" t="s">
        <v>35</v>
      </c>
      <c r="E1098" s="84">
        <v>100</v>
      </c>
      <c r="F1098" s="85">
        <v>91.66</v>
      </c>
      <c r="G1098" s="83" t="s">
        <v>885</v>
      </c>
      <c r="H1098" s="83" t="s">
        <v>1360</v>
      </c>
      <c r="I1098" s="85">
        <f>Planejamento2024[[#This Row],[Qnt de Itens]]*Planejamento2024[[#This Row],[Valor unitário]]</f>
        <v>9166</v>
      </c>
      <c r="J1098" s="83" t="s">
        <v>20</v>
      </c>
      <c r="K1098" s="83" t="s">
        <v>478</v>
      </c>
      <c r="L1098" s="86">
        <v>45292</v>
      </c>
      <c r="M1098" s="83" t="s">
        <v>20</v>
      </c>
      <c r="N1098" s="87" t="s">
        <v>1361</v>
      </c>
      <c r="O1098" s="83" t="s">
        <v>827</v>
      </c>
    </row>
    <row r="1099" spans="1:15" ht="27">
      <c r="A1099" s="81">
        <f t="shared" si="17"/>
        <v>1098</v>
      </c>
      <c r="B1099" s="82" t="s">
        <v>1957</v>
      </c>
      <c r="C1099" s="83" t="s">
        <v>34</v>
      </c>
      <c r="D1099" s="83" t="s">
        <v>35</v>
      </c>
      <c r="E1099" s="84">
        <v>300</v>
      </c>
      <c r="F1099" s="85">
        <v>685.73</v>
      </c>
      <c r="G1099" s="83" t="s">
        <v>885</v>
      </c>
      <c r="H1099" s="83" t="s">
        <v>1360</v>
      </c>
      <c r="I1099" s="85">
        <f>Planejamento2024[[#This Row],[Qnt de Itens]]*Planejamento2024[[#This Row],[Valor unitário]]</f>
        <v>205719</v>
      </c>
      <c r="J1099" s="83" t="s">
        <v>20</v>
      </c>
      <c r="K1099" s="83" t="s">
        <v>478</v>
      </c>
      <c r="L1099" s="86">
        <v>45292</v>
      </c>
      <c r="M1099" s="83" t="s">
        <v>20</v>
      </c>
      <c r="N1099" s="87" t="s">
        <v>1361</v>
      </c>
      <c r="O1099" s="83" t="s">
        <v>827</v>
      </c>
    </row>
    <row r="1100" spans="1:15" ht="27">
      <c r="A1100" s="81">
        <f t="shared" si="17"/>
        <v>1099</v>
      </c>
      <c r="B1100" s="82" t="s">
        <v>1958</v>
      </c>
      <c r="C1100" s="83" t="s">
        <v>34</v>
      </c>
      <c r="D1100" s="83" t="s">
        <v>35</v>
      </c>
      <c r="E1100" s="84">
        <v>200</v>
      </c>
      <c r="F1100" s="85">
        <v>348.43</v>
      </c>
      <c r="G1100" s="83" t="s">
        <v>885</v>
      </c>
      <c r="H1100" s="83" t="s">
        <v>1360</v>
      </c>
      <c r="I1100" s="85">
        <f>Planejamento2024[[#This Row],[Qnt de Itens]]*Planejamento2024[[#This Row],[Valor unitário]]</f>
        <v>69686</v>
      </c>
      <c r="J1100" s="83" t="s">
        <v>20</v>
      </c>
      <c r="K1100" s="83" t="s">
        <v>478</v>
      </c>
      <c r="L1100" s="86">
        <v>45292</v>
      </c>
      <c r="M1100" s="83" t="s">
        <v>20</v>
      </c>
      <c r="N1100" s="87" t="s">
        <v>1361</v>
      </c>
      <c r="O1100" s="83" t="s">
        <v>827</v>
      </c>
    </row>
    <row r="1101" spans="1:15" ht="18">
      <c r="A1101" s="81">
        <f t="shared" si="17"/>
        <v>1100</v>
      </c>
      <c r="B1101" s="82" t="s">
        <v>1959</v>
      </c>
      <c r="C1101" s="83" t="s">
        <v>34</v>
      </c>
      <c r="D1101" s="83" t="s">
        <v>35</v>
      </c>
      <c r="E1101" s="84">
        <v>700</v>
      </c>
      <c r="F1101" s="85">
        <v>54.7</v>
      </c>
      <c r="G1101" s="83" t="s">
        <v>885</v>
      </c>
      <c r="H1101" s="83" t="s">
        <v>1360</v>
      </c>
      <c r="I1101" s="85">
        <f>Planejamento2024[[#This Row],[Qnt de Itens]]*Planejamento2024[[#This Row],[Valor unitário]]</f>
        <v>38290</v>
      </c>
      <c r="J1101" s="83" t="s">
        <v>20</v>
      </c>
      <c r="K1101" s="83" t="s">
        <v>478</v>
      </c>
      <c r="L1101" s="86">
        <v>45292</v>
      </c>
      <c r="M1101" s="83" t="s">
        <v>20</v>
      </c>
      <c r="N1101" s="87" t="s">
        <v>1361</v>
      </c>
      <c r="O1101" s="83" t="s">
        <v>827</v>
      </c>
    </row>
    <row r="1102" spans="1:15" ht="45">
      <c r="A1102" s="81">
        <f t="shared" si="17"/>
        <v>1101</v>
      </c>
      <c r="B1102" s="82" t="s">
        <v>1960</v>
      </c>
      <c r="C1102" s="83" t="s">
        <v>34</v>
      </c>
      <c r="D1102" s="83" t="s">
        <v>35</v>
      </c>
      <c r="E1102" s="84">
        <v>200</v>
      </c>
      <c r="F1102" s="85">
        <v>143.72999999999999</v>
      </c>
      <c r="G1102" s="83" t="s">
        <v>885</v>
      </c>
      <c r="H1102" s="83" t="s">
        <v>1360</v>
      </c>
      <c r="I1102" s="85">
        <f>Planejamento2024[[#This Row],[Qnt de Itens]]*Planejamento2024[[#This Row],[Valor unitário]]</f>
        <v>28745.999999999996</v>
      </c>
      <c r="J1102" s="83" t="s">
        <v>20</v>
      </c>
      <c r="K1102" s="83" t="s">
        <v>478</v>
      </c>
      <c r="L1102" s="86">
        <v>45292</v>
      </c>
      <c r="M1102" s="83" t="s">
        <v>20</v>
      </c>
      <c r="N1102" s="87" t="s">
        <v>1361</v>
      </c>
      <c r="O1102" s="83" t="s">
        <v>827</v>
      </c>
    </row>
    <row r="1103" spans="1:15" ht="36">
      <c r="A1103" s="81">
        <f t="shared" si="17"/>
        <v>1102</v>
      </c>
      <c r="B1103" s="82" t="s">
        <v>1961</v>
      </c>
      <c r="C1103" s="83" t="s">
        <v>34</v>
      </c>
      <c r="D1103" s="83" t="s">
        <v>35</v>
      </c>
      <c r="E1103" s="84">
        <v>200</v>
      </c>
      <c r="F1103" s="85">
        <v>59.27</v>
      </c>
      <c r="G1103" s="83" t="s">
        <v>885</v>
      </c>
      <c r="H1103" s="83" t="s">
        <v>1360</v>
      </c>
      <c r="I1103" s="85">
        <f>Planejamento2024[[#This Row],[Qnt de Itens]]*Planejamento2024[[#This Row],[Valor unitário]]</f>
        <v>11854</v>
      </c>
      <c r="J1103" s="83" t="s">
        <v>20</v>
      </c>
      <c r="K1103" s="83" t="s">
        <v>478</v>
      </c>
      <c r="L1103" s="86">
        <v>45292</v>
      </c>
      <c r="M1103" s="83" t="s">
        <v>20</v>
      </c>
      <c r="N1103" s="87" t="s">
        <v>1361</v>
      </c>
      <c r="O1103" s="83" t="s">
        <v>827</v>
      </c>
    </row>
    <row r="1104" spans="1:15" ht="18">
      <c r="A1104" s="81">
        <f t="shared" si="17"/>
        <v>1103</v>
      </c>
      <c r="B1104" s="82" t="s">
        <v>1962</v>
      </c>
      <c r="C1104" s="83" t="s">
        <v>34</v>
      </c>
      <c r="D1104" s="83" t="s">
        <v>35</v>
      </c>
      <c r="E1104" s="84">
        <v>300</v>
      </c>
      <c r="F1104" s="85">
        <v>215.53</v>
      </c>
      <c r="G1104" s="83" t="s">
        <v>885</v>
      </c>
      <c r="H1104" s="83" t="s">
        <v>1360</v>
      </c>
      <c r="I1104" s="85">
        <f>Planejamento2024[[#This Row],[Qnt de Itens]]*Planejamento2024[[#This Row],[Valor unitário]]</f>
        <v>64659</v>
      </c>
      <c r="J1104" s="83" t="s">
        <v>20</v>
      </c>
      <c r="K1104" s="83" t="s">
        <v>478</v>
      </c>
      <c r="L1104" s="86">
        <v>45292</v>
      </c>
      <c r="M1104" s="83" t="s">
        <v>20</v>
      </c>
      <c r="N1104" s="87" t="s">
        <v>1361</v>
      </c>
      <c r="O1104" s="83" t="s">
        <v>827</v>
      </c>
    </row>
    <row r="1105" spans="1:15" ht="18">
      <c r="A1105" s="81">
        <f t="shared" si="17"/>
        <v>1104</v>
      </c>
      <c r="B1105" s="82" t="s">
        <v>1963</v>
      </c>
      <c r="C1105" s="83" t="s">
        <v>34</v>
      </c>
      <c r="D1105" s="83" t="s">
        <v>35</v>
      </c>
      <c r="E1105" s="84">
        <v>300</v>
      </c>
      <c r="F1105" s="85">
        <v>57.83</v>
      </c>
      <c r="G1105" s="83" t="s">
        <v>885</v>
      </c>
      <c r="H1105" s="83" t="s">
        <v>1360</v>
      </c>
      <c r="I1105" s="85">
        <f>Planejamento2024[[#This Row],[Qnt de Itens]]*Planejamento2024[[#This Row],[Valor unitário]]</f>
        <v>17349</v>
      </c>
      <c r="J1105" s="83" t="s">
        <v>20</v>
      </c>
      <c r="K1105" s="83" t="s">
        <v>478</v>
      </c>
      <c r="L1105" s="86">
        <v>45292</v>
      </c>
      <c r="M1105" s="83" t="s">
        <v>20</v>
      </c>
      <c r="N1105" s="87" t="s">
        <v>1361</v>
      </c>
      <c r="O1105" s="83" t="s">
        <v>827</v>
      </c>
    </row>
    <row r="1106" spans="1:15" ht="27">
      <c r="A1106" s="81">
        <f t="shared" si="17"/>
        <v>1105</v>
      </c>
      <c r="B1106" s="82" t="s">
        <v>1964</v>
      </c>
      <c r="C1106" s="83" t="s">
        <v>34</v>
      </c>
      <c r="D1106" s="83" t="s">
        <v>35</v>
      </c>
      <c r="E1106" s="84">
        <v>200</v>
      </c>
      <c r="F1106" s="85">
        <v>205.18</v>
      </c>
      <c r="G1106" s="83" t="s">
        <v>885</v>
      </c>
      <c r="H1106" s="83" t="s">
        <v>1360</v>
      </c>
      <c r="I1106" s="85">
        <f>Planejamento2024[[#This Row],[Qnt de Itens]]*Planejamento2024[[#This Row],[Valor unitário]]</f>
        <v>41036</v>
      </c>
      <c r="J1106" s="83" t="s">
        <v>20</v>
      </c>
      <c r="K1106" s="83" t="s">
        <v>478</v>
      </c>
      <c r="L1106" s="86">
        <v>45292</v>
      </c>
      <c r="M1106" s="83" t="s">
        <v>20</v>
      </c>
      <c r="N1106" s="87" t="s">
        <v>1361</v>
      </c>
      <c r="O1106" s="83" t="s">
        <v>827</v>
      </c>
    </row>
    <row r="1107" spans="1:15" ht="45">
      <c r="A1107" s="81">
        <f t="shared" si="17"/>
        <v>1106</v>
      </c>
      <c r="B1107" s="82" t="s">
        <v>1965</v>
      </c>
      <c r="C1107" s="83" t="s">
        <v>34</v>
      </c>
      <c r="D1107" s="83" t="s">
        <v>35</v>
      </c>
      <c r="E1107" s="84">
        <v>200</v>
      </c>
      <c r="F1107" s="85">
        <v>453.73</v>
      </c>
      <c r="G1107" s="83" t="s">
        <v>885</v>
      </c>
      <c r="H1107" s="83" t="s">
        <v>1360</v>
      </c>
      <c r="I1107" s="85">
        <f>Planejamento2024[[#This Row],[Qnt de Itens]]*Planejamento2024[[#This Row],[Valor unitário]]</f>
        <v>90746</v>
      </c>
      <c r="J1107" s="83" t="s">
        <v>20</v>
      </c>
      <c r="K1107" s="83" t="s">
        <v>478</v>
      </c>
      <c r="L1107" s="86">
        <v>45292</v>
      </c>
      <c r="M1107" s="83" t="s">
        <v>20</v>
      </c>
      <c r="N1107" s="87" t="s">
        <v>1361</v>
      </c>
      <c r="O1107" s="83" t="s">
        <v>827</v>
      </c>
    </row>
    <row r="1108" spans="1:15" ht="27">
      <c r="A1108" s="81">
        <f t="shared" si="17"/>
        <v>1107</v>
      </c>
      <c r="B1108" s="82" t="s">
        <v>1966</v>
      </c>
      <c r="C1108" s="83" t="s">
        <v>34</v>
      </c>
      <c r="D1108" s="83" t="s">
        <v>35</v>
      </c>
      <c r="E1108" s="84">
        <v>200</v>
      </c>
      <c r="F1108" s="85">
        <v>83.13</v>
      </c>
      <c r="G1108" s="83" t="s">
        <v>885</v>
      </c>
      <c r="H1108" s="83" t="s">
        <v>1360</v>
      </c>
      <c r="I1108" s="85">
        <f>Planejamento2024[[#This Row],[Qnt de Itens]]*Planejamento2024[[#This Row],[Valor unitário]]</f>
        <v>16626</v>
      </c>
      <c r="J1108" s="83" t="s">
        <v>20</v>
      </c>
      <c r="K1108" s="83" t="s">
        <v>478</v>
      </c>
      <c r="L1108" s="86">
        <v>45292</v>
      </c>
      <c r="M1108" s="83" t="s">
        <v>20</v>
      </c>
      <c r="N1108" s="87" t="s">
        <v>1361</v>
      </c>
      <c r="O1108" s="83" t="s">
        <v>827</v>
      </c>
    </row>
    <row r="1109" spans="1:15" ht="54">
      <c r="A1109" s="81">
        <f t="shared" si="17"/>
        <v>1108</v>
      </c>
      <c r="B1109" s="82" t="s">
        <v>1967</v>
      </c>
      <c r="C1109" s="83" t="s">
        <v>34</v>
      </c>
      <c r="D1109" s="83" t="s">
        <v>35</v>
      </c>
      <c r="E1109" s="84">
        <v>50</v>
      </c>
      <c r="F1109" s="85">
        <v>523.13</v>
      </c>
      <c r="G1109" s="83" t="s">
        <v>885</v>
      </c>
      <c r="H1109" s="83" t="s">
        <v>1360</v>
      </c>
      <c r="I1109" s="85">
        <f>Planejamento2024[[#This Row],[Qnt de Itens]]*Planejamento2024[[#This Row],[Valor unitário]]</f>
        <v>26156.5</v>
      </c>
      <c r="J1109" s="83" t="s">
        <v>20</v>
      </c>
      <c r="K1109" s="83" t="s">
        <v>478</v>
      </c>
      <c r="L1109" s="86">
        <v>45292</v>
      </c>
      <c r="M1109" s="83" t="s">
        <v>20</v>
      </c>
      <c r="N1109" s="87" t="s">
        <v>1361</v>
      </c>
      <c r="O1109" s="83" t="s">
        <v>827</v>
      </c>
    </row>
    <row r="1110" spans="1:15" ht="63">
      <c r="A1110" s="81">
        <f t="shared" si="17"/>
        <v>1109</v>
      </c>
      <c r="B1110" s="82" t="s">
        <v>1968</v>
      </c>
      <c r="C1110" s="83" t="s">
        <v>34</v>
      </c>
      <c r="D1110" s="83" t="s">
        <v>35</v>
      </c>
      <c r="E1110" s="84">
        <v>50</v>
      </c>
      <c r="F1110" s="85">
        <v>38.659999999999997</v>
      </c>
      <c r="G1110" s="83" t="s">
        <v>885</v>
      </c>
      <c r="H1110" s="83" t="s">
        <v>1360</v>
      </c>
      <c r="I1110" s="85">
        <f>Planejamento2024[[#This Row],[Qnt de Itens]]*Planejamento2024[[#This Row],[Valor unitário]]</f>
        <v>1932.9999999999998</v>
      </c>
      <c r="J1110" s="83" t="s">
        <v>20</v>
      </c>
      <c r="K1110" s="83" t="s">
        <v>478</v>
      </c>
      <c r="L1110" s="86">
        <v>45292</v>
      </c>
      <c r="M1110" s="83" t="s">
        <v>20</v>
      </c>
      <c r="N1110" s="87" t="s">
        <v>1361</v>
      </c>
      <c r="O1110" s="83" t="s">
        <v>827</v>
      </c>
    </row>
    <row r="1111" spans="1:15" ht="63">
      <c r="A1111" s="81">
        <f t="shared" si="17"/>
        <v>1110</v>
      </c>
      <c r="B1111" s="82" t="s">
        <v>1969</v>
      </c>
      <c r="C1111" s="83" t="s">
        <v>34</v>
      </c>
      <c r="D1111" s="83" t="s">
        <v>35</v>
      </c>
      <c r="E1111" s="84">
        <v>50</v>
      </c>
      <c r="F1111" s="85">
        <v>48.2</v>
      </c>
      <c r="G1111" s="83" t="s">
        <v>885</v>
      </c>
      <c r="H1111" s="83" t="s">
        <v>1360</v>
      </c>
      <c r="I1111" s="85">
        <f>Planejamento2024[[#This Row],[Qnt de Itens]]*Planejamento2024[[#This Row],[Valor unitário]]</f>
        <v>2410</v>
      </c>
      <c r="J1111" s="83" t="s">
        <v>20</v>
      </c>
      <c r="K1111" s="83" t="s">
        <v>478</v>
      </c>
      <c r="L1111" s="86">
        <v>45292</v>
      </c>
      <c r="M1111" s="83" t="s">
        <v>20</v>
      </c>
      <c r="N1111" s="87" t="s">
        <v>1361</v>
      </c>
      <c r="O1111" s="83" t="s">
        <v>827</v>
      </c>
    </row>
    <row r="1112" spans="1:15" ht="36">
      <c r="A1112" s="81">
        <f t="shared" si="17"/>
        <v>1111</v>
      </c>
      <c r="B1112" s="82" t="s">
        <v>1970</v>
      </c>
      <c r="C1112" s="83" t="s">
        <v>34</v>
      </c>
      <c r="D1112" s="83" t="s">
        <v>35</v>
      </c>
      <c r="E1112" s="84">
        <v>200</v>
      </c>
      <c r="F1112" s="85">
        <v>623.83000000000004</v>
      </c>
      <c r="G1112" s="83" t="s">
        <v>885</v>
      </c>
      <c r="H1112" s="83" t="s">
        <v>1360</v>
      </c>
      <c r="I1112" s="85">
        <f>Planejamento2024[[#This Row],[Qnt de Itens]]*Planejamento2024[[#This Row],[Valor unitário]]</f>
        <v>124766.00000000001</v>
      </c>
      <c r="J1112" s="83" t="s">
        <v>20</v>
      </c>
      <c r="K1112" s="83" t="s">
        <v>478</v>
      </c>
      <c r="L1112" s="86">
        <v>45292</v>
      </c>
      <c r="M1112" s="83" t="s">
        <v>20</v>
      </c>
      <c r="N1112" s="87" t="s">
        <v>1361</v>
      </c>
      <c r="O1112" s="83" t="s">
        <v>827</v>
      </c>
    </row>
    <row r="1113" spans="1:15" ht="36">
      <c r="A1113" s="81">
        <f t="shared" si="17"/>
        <v>1112</v>
      </c>
      <c r="B1113" s="82" t="s">
        <v>1971</v>
      </c>
      <c r="C1113" s="83" t="s">
        <v>34</v>
      </c>
      <c r="D1113" s="83" t="s">
        <v>35</v>
      </c>
      <c r="E1113" s="84">
        <v>200</v>
      </c>
      <c r="F1113" s="85">
        <v>299.45</v>
      </c>
      <c r="G1113" s="83" t="s">
        <v>885</v>
      </c>
      <c r="H1113" s="83" t="s">
        <v>1360</v>
      </c>
      <c r="I1113" s="85">
        <f>Planejamento2024[[#This Row],[Qnt de Itens]]*Planejamento2024[[#This Row],[Valor unitário]]</f>
        <v>59890</v>
      </c>
      <c r="J1113" s="83" t="s">
        <v>20</v>
      </c>
      <c r="K1113" s="83" t="s">
        <v>478</v>
      </c>
      <c r="L1113" s="86">
        <v>45292</v>
      </c>
      <c r="M1113" s="83" t="s">
        <v>20</v>
      </c>
      <c r="N1113" s="87" t="s">
        <v>1361</v>
      </c>
      <c r="O1113" s="83" t="s">
        <v>827</v>
      </c>
    </row>
    <row r="1114" spans="1:15" ht="18">
      <c r="A1114" s="81">
        <f t="shared" si="17"/>
        <v>1113</v>
      </c>
      <c r="B1114" s="82" t="s">
        <v>1972</v>
      </c>
      <c r="C1114" s="83" t="s">
        <v>34</v>
      </c>
      <c r="D1114" s="83" t="s">
        <v>35</v>
      </c>
      <c r="E1114" s="84">
        <v>200</v>
      </c>
      <c r="F1114" s="85">
        <v>428.45</v>
      </c>
      <c r="G1114" s="83" t="s">
        <v>885</v>
      </c>
      <c r="H1114" s="83" t="s">
        <v>1360</v>
      </c>
      <c r="I1114" s="85">
        <f>Planejamento2024[[#This Row],[Qnt de Itens]]*Planejamento2024[[#This Row],[Valor unitário]]</f>
        <v>85690</v>
      </c>
      <c r="J1114" s="83" t="s">
        <v>20</v>
      </c>
      <c r="K1114" s="83" t="s">
        <v>478</v>
      </c>
      <c r="L1114" s="86">
        <v>45292</v>
      </c>
      <c r="M1114" s="83" t="s">
        <v>20</v>
      </c>
      <c r="N1114" s="87" t="s">
        <v>1361</v>
      </c>
      <c r="O1114" s="83" t="s">
        <v>827</v>
      </c>
    </row>
    <row r="1115" spans="1:15" ht="18">
      <c r="A1115" s="81">
        <f t="shared" si="17"/>
        <v>1114</v>
      </c>
      <c r="B1115" s="82" t="s">
        <v>1973</v>
      </c>
      <c r="C1115" s="83" t="s">
        <v>34</v>
      </c>
      <c r="D1115" s="83" t="s">
        <v>35</v>
      </c>
      <c r="E1115" s="84">
        <v>100</v>
      </c>
      <c r="F1115" s="85">
        <v>28.32</v>
      </c>
      <c r="G1115" s="83" t="s">
        <v>885</v>
      </c>
      <c r="H1115" s="83" t="s">
        <v>1360</v>
      </c>
      <c r="I1115" s="85">
        <f>Planejamento2024[[#This Row],[Qnt de Itens]]*Planejamento2024[[#This Row],[Valor unitário]]</f>
        <v>2832</v>
      </c>
      <c r="J1115" s="83" t="s">
        <v>20</v>
      </c>
      <c r="K1115" s="83" t="s">
        <v>478</v>
      </c>
      <c r="L1115" s="86">
        <v>45292</v>
      </c>
      <c r="M1115" s="83" t="s">
        <v>20</v>
      </c>
      <c r="N1115" s="87" t="s">
        <v>1361</v>
      </c>
      <c r="O1115" s="83" t="s">
        <v>827</v>
      </c>
    </row>
    <row r="1116" spans="1:15" ht="27">
      <c r="A1116" s="81">
        <f t="shared" si="17"/>
        <v>1115</v>
      </c>
      <c r="B1116" s="82" t="s">
        <v>1974</v>
      </c>
      <c r="C1116" s="83" t="s">
        <v>34</v>
      </c>
      <c r="D1116" s="83" t="s">
        <v>35</v>
      </c>
      <c r="E1116" s="84">
        <v>100</v>
      </c>
      <c r="F1116" s="85">
        <v>65.87</v>
      </c>
      <c r="G1116" s="83" t="s">
        <v>885</v>
      </c>
      <c r="H1116" s="83" t="s">
        <v>1360</v>
      </c>
      <c r="I1116" s="85">
        <f>Planejamento2024[[#This Row],[Qnt de Itens]]*Planejamento2024[[#This Row],[Valor unitário]]</f>
        <v>6587</v>
      </c>
      <c r="J1116" s="83" t="s">
        <v>20</v>
      </c>
      <c r="K1116" s="83" t="s">
        <v>478</v>
      </c>
      <c r="L1116" s="86">
        <v>45292</v>
      </c>
      <c r="M1116" s="83" t="s">
        <v>20</v>
      </c>
      <c r="N1116" s="87" t="s">
        <v>1361</v>
      </c>
      <c r="O1116" s="83" t="s">
        <v>827</v>
      </c>
    </row>
    <row r="1117" spans="1:15" ht="18">
      <c r="A1117" s="81">
        <f t="shared" si="17"/>
        <v>1116</v>
      </c>
      <c r="B1117" s="82" t="s">
        <v>1975</v>
      </c>
      <c r="C1117" s="83" t="s">
        <v>34</v>
      </c>
      <c r="D1117" s="83" t="s">
        <v>35</v>
      </c>
      <c r="E1117" s="84">
        <v>100</v>
      </c>
      <c r="F1117" s="85">
        <v>44.68</v>
      </c>
      <c r="G1117" s="83" t="s">
        <v>885</v>
      </c>
      <c r="H1117" s="83" t="s">
        <v>1360</v>
      </c>
      <c r="I1117" s="85">
        <f>Planejamento2024[[#This Row],[Qnt de Itens]]*Planejamento2024[[#This Row],[Valor unitário]]</f>
        <v>4468</v>
      </c>
      <c r="J1117" s="83" t="s">
        <v>20</v>
      </c>
      <c r="K1117" s="83" t="s">
        <v>478</v>
      </c>
      <c r="L1117" s="86">
        <v>45292</v>
      </c>
      <c r="M1117" s="83" t="s">
        <v>20</v>
      </c>
      <c r="N1117" s="87" t="s">
        <v>1361</v>
      </c>
      <c r="O1117" s="83" t="s">
        <v>827</v>
      </c>
    </row>
    <row r="1118" spans="1:15" ht="27">
      <c r="A1118" s="81">
        <f t="shared" si="17"/>
        <v>1117</v>
      </c>
      <c r="B1118" s="82" t="s">
        <v>1976</v>
      </c>
      <c r="C1118" s="83" t="s">
        <v>34</v>
      </c>
      <c r="D1118" s="83" t="s">
        <v>35</v>
      </c>
      <c r="E1118" s="84">
        <v>500</v>
      </c>
      <c r="F1118" s="85">
        <v>14.2</v>
      </c>
      <c r="G1118" s="83" t="s">
        <v>885</v>
      </c>
      <c r="H1118" s="83" t="s">
        <v>1360</v>
      </c>
      <c r="I1118" s="85">
        <f>Planejamento2024[[#This Row],[Qnt de Itens]]*Planejamento2024[[#This Row],[Valor unitário]]</f>
        <v>7100</v>
      </c>
      <c r="J1118" s="83" t="s">
        <v>20</v>
      </c>
      <c r="K1118" s="83" t="s">
        <v>478</v>
      </c>
      <c r="L1118" s="86">
        <v>45292</v>
      </c>
      <c r="M1118" s="83" t="s">
        <v>20</v>
      </c>
      <c r="N1118" s="87" t="s">
        <v>1361</v>
      </c>
      <c r="O1118" s="83" t="s">
        <v>827</v>
      </c>
    </row>
    <row r="1119" spans="1:15" ht="54">
      <c r="A1119" s="81">
        <f t="shared" si="17"/>
        <v>1118</v>
      </c>
      <c r="B1119" s="82" t="s">
        <v>1977</v>
      </c>
      <c r="C1119" s="83" t="s">
        <v>34</v>
      </c>
      <c r="D1119" s="83" t="s">
        <v>35</v>
      </c>
      <c r="E1119" s="84">
        <v>100</v>
      </c>
      <c r="F1119" s="85">
        <v>50.12</v>
      </c>
      <c r="G1119" s="83" t="s">
        <v>885</v>
      </c>
      <c r="H1119" s="83" t="s">
        <v>1360</v>
      </c>
      <c r="I1119" s="85">
        <f>Planejamento2024[[#This Row],[Qnt de Itens]]*Planejamento2024[[#This Row],[Valor unitário]]</f>
        <v>5012</v>
      </c>
      <c r="J1119" s="83" t="s">
        <v>20</v>
      </c>
      <c r="K1119" s="83" t="s">
        <v>478</v>
      </c>
      <c r="L1119" s="86">
        <v>45292</v>
      </c>
      <c r="M1119" s="83" t="s">
        <v>20</v>
      </c>
      <c r="N1119" s="87" t="s">
        <v>1361</v>
      </c>
      <c r="O1119" s="83" t="s">
        <v>827</v>
      </c>
    </row>
    <row r="1120" spans="1:15" ht="27">
      <c r="A1120" s="81">
        <f t="shared" si="17"/>
        <v>1119</v>
      </c>
      <c r="B1120" s="82" t="s">
        <v>1978</v>
      </c>
      <c r="C1120" s="83" t="s">
        <v>34</v>
      </c>
      <c r="D1120" s="83" t="s">
        <v>35</v>
      </c>
      <c r="E1120" s="84">
        <v>200</v>
      </c>
      <c r="F1120" s="85">
        <v>430.13</v>
      </c>
      <c r="G1120" s="83" t="s">
        <v>885</v>
      </c>
      <c r="H1120" s="83" t="s">
        <v>1360</v>
      </c>
      <c r="I1120" s="85">
        <f>Planejamento2024[[#This Row],[Qnt de Itens]]*Planejamento2024[[#This Row],[Valor unitário]]</f>
        <v>86026</v>
      </c>
      <c r="J1120" s="83" t="s">
        <v>20</v>
      </c>
      <c r="K1120" s="83" t="s">
        <v>478</v>
      </c>
      <c r="L1120" s="86">
        <v>45292</v>
      </c>
      <c r="M1120" s="83" t="s">
        <v>20</v>
      </c>
      <c r="N1120" s="87" t="s">
        <v>1361</v>
      </c>
      <c r="O1120" s="83" t="s">
        <v>827</v>
      </c>
    </row>
    <row r="1121" spans="1:15" ht="27">
      <c r="A1121" s="81">
        <f t="shared" si="17"/>
        <v>1120</v>
      </c>
      <c r="B1121" s="82" t="s">
        <v>1979</v>
      </c>
      <c r="C1121" s="83" t="s">
        <v>34</v>
      </c>
      <c r="D1121" s="83" t="s">
        <v>35</v>
      </c>
      <c r="E1121" s="84">
        <v>200</v>
      </c>
      <c r="F1121" s="85">
        <v>211.63</v>
      </c>
      <c r="G1121" s="83" t="s">
        <v>885</v>
      </c>
      <c r="H1121" s="83" t="s">
        <v>1360</v>
      </c>
      <c r="I1121" s="85">
        <f>Planejamento2024[[#This Row],[Qnt de Itens]]*Planejamento2024[[#This Row],[Valor unitário]]</f>
        <v>42326</v>
      </c>
      <c r="J1121" s="83" t="s">
        <v>20</v>
      </c>
      <c r="K1121" s="83" t="s">
        <v>478</v>
      </c>
      <c r="L1121" s="86">
        <v>45292</v>
      </c>
      <c r="M1121" s="83" t="s">
        <v>20</v>
      </c>
      <c r="N1121" s="87" t="s">
        <v>1361</v>
      </c>
      <c r="O1121" s="83" t="s">
        <v>827</v>
      </c>
    </row>
    <row r="1122" spans="1:15" ht="27">
      <c r="A1122" s="81">
        <f t="shared" si="17"/>
        <v>1121</v>
      </c>
      <c r="B1122" s="82" t="s">
        <v>1980</v>
      </c>
      <c r="C1122" s="83" t="s">
        <v>34</v>
      </c>
      <c r="D1122" s="83" t="s">
        <v>35</v>
      </c>
      <c r="E1122" s="84">
        <v>50</v>
      </c>
      <c r="F1122" s="85">
        <v>115.74</v>
      </c>
      <c r="G1122" s="83" t="s">
        <v>885</v>
      </c>
      <c r="H1122" s="83" t="s">
        <v>1360</v>
      </c>
      <c r="I1122" s="85">
        <f>Planejamento2024[[#This Row],[Qnt de Itens]]*Planejamento2024[[#This Row],[Valor unitário]]</f>
        <v>5787</v>
      </c>
      <c r="J1122" s="83" t="s">
        <v>20</v>
      </c>
      <c r="K1122" s="83" t="s">
        <v>478</v>
      </c>
      <c r="L1122" s="86">
        <v>45292</v>
      </c>
      <c r="M1122" s="83" t="s">
        <v>20</v>
      </c>
      <c r="N1122" s="87" t="s">
        <v>1361</v>
      </c>
      <c r="O1122" s="83" t="s">
        <v>827</v>
      </c>
    </row>
    <row r="1123" spans="1:15" ht="27">
      <c r="A1123" s="81">
        <f t="shared" si="17"/>
        <v>1122</v>
      </c>
      <c r="B1123" s="82" t="s">
        <v>1981</v>
      </c>
      <c r="C1123" s="83" t="s">
        <v>34</v>
      </c>
      <c r="D1123" s="83" t="s">
        <v>35</v>
      </c>
      <c r="E1123" s="84">
        <v>50</v>
      </c>
      <c r="F1123" s="85">
        <v>141.41</v>
      </c>
      <c r="G1123" s="83" t="s">
        <v>885</v>
      </c>
      <c r="H1123" s="83" t="s">
        <v>1360</v>
      </c>
      <c r="I1123" s="85">
        <f>Planejamento2024[[#This Row],[Qnt de Itens]]*Planejamento2024[[#This Row],[Valor unitário]]</f>
        <v>7070.5</v>
      </c>
      <c r="J1123" s="83" t="s">
        <v>20</v>
      </c>
      <c r="K1123" s="83" t="s">
        <v>478</v>
      </c>
      <c r="L1123" s="86">
        <v>45292</v>
      </c>
      <c r="M1123" s="83" t="s">
        <v>20</v>
      </c>
      <c r="N1123" s="87" t="s">
        <v>1361</v>
      </c>
      <c r="O1123" s="83" t="s">
        <v>827</v>
      </c>
    </row>
    <row r="1124" spans="1:15" ht="27">
      <c r="A1124" s="81">
        <f t="shared" si="17"/>
        <v>1123</v>
      </c>
      <c r="B1124" s="82" t="s">
        <v>1982</v>
      </c>
      <c r="C1124" s="83" t="s">
        <v>34</v>
      </c>
      <c r="D1124" s="83" t="s">
        <v>35</v>
      </c>
      <c r="E1124" s="84">
        <v>50</v>
      </c>
      <c r="F1124" s="85">
        <v>153.71</v>
      </c>
      <c r="G1124" s="83" t="s">
        <v>885</v>
      </c>
      <c r="H1124" s="83" t="s">
        <v>1360</v>
      </c>
      <c r="I1124" s="85">
        <f>Planejamento2024[[#This Row],[Qnt de Itens]]*Planejamento2024[[#This Row],[Valor unitário]]</f>
        <v>7685.5</v>
      </c>
      <c r="J1124" s="83" t="s">
        <v>20</v>
      </c>
      <c r="K1124" s="83" t="s">
        <v>478</v>
      </c>
      <c r="L1124" s="86">
        <v>45292</v>
      </c>
      <c r="M1124" s="83" t="s">
        <v>20</v>
      </c>
      <c r="N1124" s="87" t="s">
        <v>1361</v>
      </c>
      <c r="O1124" s="83" t="s">
        <v>827</v>
      </c>
    </row>
    <row r="1125" spans="1:15" ht="27">
      <c r="A1125" s="81">
        <f t="shared" si="17"/>
        <v>1124</v>
      </c>
      <c r="B1125" s="82" t="s">
        <v>1983</v>
      </c>
      <c r="C1125" s="83" t="s">
        <v>34</v>
      </c>
      <c r="D1125" s="83" t="s">
        <v>35</v>
      </c>
      <c r="E1125" s="84">
        <v>50</v>
      </c>
      <c r="F1125" s="85">
        <v>161.77000000000001</v>
      </c>
      <c r="G1125" s="83" t="s">
        <v>885</v>
      </c>
      <c r="H1125" s="83" t="s">
        <v>1360</v>
      </c>
      <c r="I1125" s="85">
        <f>Planejamento2024[[#This Row],[Qnt de Itens]]*Planejamento2024[[#This Row],[Valor unitário]]</f>
        <v>8088.5000000000009</v>
      </c>
      <c r="J1125" s="83" t="s">
        <v>20</v>
      </c>
      <c r="K1125" s="83" t="s">
        <v>478</v>
      </c>
      <c r="L1125" s="86">
        <v>45292</v>
      </c>
      <c r="M1125" s="83" t="s">
        <v>20</v>
      </c>
      <c r="N1125" s="87" t="s">
        <v>1361</v>
      </c>
      <c r="O1125" s="83" t="s">
        <v>827</v>
      </c>
    </row>
    <row r="1126" spans="1:15" ht="27">
      <c r="A1126" s="81">
        <f t="shared" si="17"/>
        <v>1125</v>
      </c>
      <c r="B1126" s="82" t="s">
        <v>1984</v>
      </c>
      <c r="C1126" s="83" t="s">
        <v>34</v>
      </c>
      <c r="D1126" s="83" t="s">
        <v>35</v>
      </c>
      <c r="E1126" s="84">
        <v>50</v>
      </c>
      <c r="F1126" s="85">
        <v>166.97</v>
      </c>
      <c r="G1126" s="83" t="s">
        <v>885</v>
      </c>
      <c r="H1126" s="83" t="s">
        <v>1360</v>
      </c>
      <c r="I1126" s="85">
        <f>Planejamento2024[[#This Row],[Qnt de Itens]]*Planejamento2024[[#This Row],[Valor unitário]]</f>
        <v>8348.5</v>
      </c>
      <c r="J1126" s="83" t="s">
        <v>20</v>
      </c>
      <c r="K1126" s="83" t="s">
        <v>478</v>
      </c>
      <c r="L1126" s="86">
        <v>45292</v>
      </c>
      <c r="M1126" s="83" t="s">
        <v>20</v>
      </c>
      <c r="N1126" s="87" t="s">
        <v>1361</v>
      </c>
      <c r="O1126" s="83" t="s">
        <v>827</v>
      </c>
    </row>
    <row r="1127" spans="1:15" ht="27">
      <c r="A1127" s="81">
        <f t="shared" si="17"/>
        <v>1126</v>
      </c>
      <c r="B1127" s="82" t="s">
        <v>1985</v>
      </c>
      <c r="C1127" s="83" t="s">
        <v>34</v>
      </c>
      <c r="D1127" s="83" t="s">
        <v>35</v>
      </c>
      <c r="E1127" s="84">
        <v>50</v>
      </c>
      <c r="F1127" s="85">
        <v>176.5</v>
      </c>
      <c r="G1127" s="83" t="s">
        <v>885</v>
      </c>
      <c r="H1127" s="83" t="s">
        <v>1360</v>
      </c>
      <c r="I1127" s="85">
        <f>Planejamento2024[[#This Row],[Qnt de Itens]]*Planejamento2024[[#This Row],[Valor unitário]]</f>
        <v>8825</v>
      </c>
      <c r="J1127" s="83" t="s">
        <v>20</v>
      </c>
      <c r="K1127" s="83" t="s">
        <v>478</v>
      </c>
      <c r="L1127" s="86">
        <v>45292</v>
      </c>
      <c r="M1127" s="83" t="s">
        <v>20</v>
      </c>
      <c r="N1127" s="87" t="s">
        <v>1361</v>
      </c>
      <c r="O1127" s="83" t="s">
        <v>827</v>
      </c>
    </row>
    <row r="1128" spans="1:15" ht="27">
      <c r="A1128" s="81">
        <f t="shared" si="17"/>
        <v>1127</v>
      </c>
      <c r="B1128" s="82" t="s">
        <v>1986</v>
      </c>
      <c r="C1128" s="83" t="s">
        <v>34</v>
      </c>
      <c r="D1128" s="83" t="s">
        <v>35</v>
      </c>
      <c r="E1128" s="84">
        <v>50</v>
      </c>
      <c r="F1128" s="85">
        <v>181.7</v>
      </c>
      <c r="G1128" s="83" t="s">
        <v>885</v>
      </c>
      <c r="H1128" s="83" t="s">
        <v>1360</v>
      </c>
      <c r="I1128" s="85">
        <f>Planejamento2024[[#This Row],[Qnt de Itens]]*Planejamento2024[[#This Row],[Valor unitário]]</f>
        <v>9085</v>
      </c>
      <c r="J1128" s="83" t="s">
        <v>20</v>
      </c>
      <c r="K1128" s="83" t="s">
        <v>478</v>
      </c>
      <c r="L1128" s="86">
        <v>45292</v>
      </c>
      <c r="M1128" s="83" t="s">
        <v>20</v>
      </c>
      <c r="N1128" s="87" t="s">
        <v>1361</v>
      </c>
      <c r="O1128" s="83" t="s">
        <v>827</v>
      </c>
    </row>
    <row r="1129" spans="1:15" ht="36">
      <c r="A1129" s="81">
        <f t="shared" si="17"/>
        <v>1128</v>
      </c>
      <c r="B1129" s="82" t="s">
        <v>1987</v>
      </c>
      <c r="C1129" s="83" t="s">
        <v>34</v>
      </c>
      <c r="D1129" s="83" t="s">
        <v>35</v>
      </c>
      <c r="E1129" s="84">
        <v>100</v>
      </c>
      <c r="F1129" s="85">
        <v>107.25</v>
      </c>
      <c r="G1129" s="83" t="s">
        <v>885</v>
      </c>
      <c r="H1129" s="83" t="s">
        <v>1360</v>
      </c>
      <c r="I1129" s="85">
        <f>Planejamento2024[[#This Row],[Qnt de Itens]]*Planejamento2024[[#This Row],[Valor unitário]]</f>
        <v>10725</v>
      </c>
      <c r="J1129" s="83" t="s">
        <v>20</v>
      </c>
      <c r="K1129" s="83" t="s">
        <v>478</v>
      </c>
      <c r="L1129" s="86">
        <v>45292</v>
      </c>
      <c r="M1129" s="83" t="s">
        <v>20</v>
      </c>
      <c r="N1129" s="87" t="s">
        <v>1361</v>
      </c>
      <c r="O1129" s="83" t="s">
        <v>827</v>
      </c>
    </row>
    <row r="1130" spans="1:15" ht="36">
      <c r="A1130" s="81">
        <f t="shared" si="17"/>
        <v>1129</v>
      </c>
      <c r="B1130" s="82" t="s">
        <v>1988</v>
      </c>
      <c r="C1130" s="83" t="s">
        <v>34</v>
      </c>
      <c r="D1130" s="83" t="s">
        <v>35</v>
      </c>
      <c r="E1130" s="84">
        <v>100</v>
      </c>
      <c r="F1130" s="85">
        <v>123.25</v>
      </c>
      <c r="G1130" s="83" t="s">
        <v>885</v>
      </c>
      <c r="H1130" s="83" t="s">
        <v>1360</v>
      </c>
      <c r="I1130" s="85">
        <f>Planejamento2024[[#This Row],[Qnt de Itens]]*Planejamento2024[[#This Row],[Valor unitário]]</f>
        <v>12325</v>
      </c>
      <c r="J1130" s="83" t="s">
        <v>20</v>
      </c>
      <c r="K1130" s="83" t="s">
        <v>478</v>
      </c>
      <c r="L1130" s="86">
        <v>45292</v>
      </c>
      <c r="M1130" s="83" t="s">
        <v>20</v>
      </c>
      <c r="N1130" s="87" t="s">
        <v>1361</v>
      </c>
      <c r="O1130" s="83" t="s">
        <v>827</v>
      </c>
    </row>
    <row r="1131" spans="1:15" ht="18">
      <c r="A1131" s="81">
        <f t="shared" si="17"/>
        <v>1130</v>
      </c>
      <c r="B1131" s="82" t="s">
        <v>1989</v>
      </c>
      <c r="C1131" s="83" t="s">
        <v>34</v>
      </c>
      <c r="D1131" s="83" t="s">
        <v>35</v>
      </c>
      <c r="E1131" s="84">
        <v>100</v>
      </c>
      <c r="F1131" s="85">
        <v>119.24</v>
      </c>
      <c r="G1131" s="83" t="s">
        <v>885</v>
      </c>
      <c r="H1131" s="83" t="s">
        <v>1360</v>
      </c>
      <c r="I1131" s="85">
        <f>Planejamento2024[[#This Row],[Qnt de Itens]]*Planejamento2024[[#This Row],[Valor unitário]]</f>
        <v>11924</v>
      </c>
      <c r="J1131" s="83" t="s">
        <v>20</v>
      </c>
      <c r="K1131" s="83" t="s">
        <v>478</v>
      </c>
      <c r="L1131" s="86">
        <v>45292</v>
      </c>
      <c r="M1131" s="83" t="s">
        <v>20</v>
      </c>
      <c r="N1131" s="87" t="s">
        <v>1361</v>
      </c>
      <c r="O1131" s="83" t="s">
        <v>827</v>
      </c>
    </row>
    <row r="1132" spans="1:15" ht="27">
      <c r="A1132" s="81">
        <f t="shared" si="17"/>
        <v>1131</v>
      </c>
      <c r="B1132" s="82" t="s">
        <v>1990</v>
      </c>
      <c r="C1132" s="83" t="s">
        <v>25</v>
      </c>
      <c r="D1132" s="83" t="s">
        <v>17</v>
      </c>
      <c r="E1132" s="84">
        <v>2256</v>
      </c>
      <c r="F1132" s="85">
        <v>4.0199999999999996</v>
      </c>
      <c r="G1132" s="83" t="s">
        <v>255</v>
      </c>
      <c r="H1132" s="83" t="s">
        <v>1991</v>
      </c>
      <c r="I1132" s="85">
        <f>Planejamento2024[[#This Row],[Qnt de Itens]]*Planejamento2024[[#This Row],[Valor unitário]]</f>
        <v>9069.119999999999</v>
      </c>
      <c r="J1132" s="83" t="s">
        <v>38</v>
      </c>
      <c r="K1132" s="83" t="s">
        <v>415</v>
      </c>
      <c r="L1132" s="86">
        <v>45505</v>
      </c>
      <c r="M1132" s="83" t="s">
        <v>38</v>
      </c>
      <c r="N1132" s="87" t="s">
        <v>1992</v>
      </c>
      <c r="O1132" s="83" t="s">
        <v>827</v>
      </c>
    </row>
    <row r="1133" spans="1:15" ht="36">
      <c r="A1133" s="81">
        <f t="shared" si="17"/>
        <v>1132</v>
      </c>
      <c r="B1133" s="82" t="s">
        <v>1993</v>
      </c>
      <c r="C1133" s="83" t="s">
        <v>25</v>
      </c>
      <c r="D1133" s="83" t="s">
        <v>17</v>
      </c>
      <c r="E1133" s="84">
        <v>2256</v>
      </c>
      <c r="F1133" s="85">
        <v>6.22</v>
      </c>
      <c r="G1133" s="83" t="s">
        <v>255</v>
      </c>
      <c r="H1133" s="83" t="s">
        <v>1991</v>
      </c>
      <c r="I1133" s="85">
        <f>Planejamento2024[[#This Row],[Qnt de Itens]]*Planejamento2024[[#This Row],[Valor unitário]]</f>
        <v>14032.32</v>
      </c>
      <c r="J1133" s="83" t="s">
        <v>38</v>
      </c>
      <c r="K1133" s="83" t="s">
        <v>415</v>
      </c>
      <c r="L1133" s="86">
        <v>45505</v>
      </c>
      <c r="M1133" s="83" t="s">
        <v>38</v>
      </c>
      <c r="N1133" s="87" t="s">
        <v>1992</v>
      </c>
      <c r="O1133" s="83" t="s">
        <v>827</v>
      </c>
    </row>
    <row r="1134" spans="1:15" ht="27">
      <c r="A1134" s="81">
        <f t="shared" si="17"/>
        <v>1133</v>
      </c>
      <c r="B1134" s="82" t="s">
        <v>1994</v>
      </c>
      <c r="C1134" s="83" t="s">
        <v>25</v>
      </c>
      <c r="D1134" s="83" t="s">
        <v>17</v>
      </c>
      <c r="E1134" s="84">
        <v>18072</v>
      </c>
      <c r="F1134" s="85">
        <v>4.82</v>
      </c>
      <c r="G1134" s="83" t="s">
        <v>255</v>
      </c>
      <c r="H1134" s="83" t="s">
        <v>1991</v>
      </c>
      <c r="I1134" s="85">
        <f>Planejamento2024[[#This Row],[Qnt de Itens]]*Planejamento2024[[#This Row],[Valor unitário]]</f>
        <v>87107.040000000008</v>
      </c>
      <c r="J1134" s="83" t="s">
        <v>38</v>
      </c>
      <c r="K1134" s="83" t="s">
        <v>415</v>
      </c>
      <c r="L1134" s="86">
        <v>45505</v>
      </c>
      <c r="M1134" s="83" t="s">
        <v>38</v>
      </c>
      <c r="N1134" s="87" t="s">
        <v>1992</v>
      </c>
      <c r="O1134" s="83" t="s">
        <v>827</v>
      </c>
    </row>
    <row r="1135" spans="1:15" ht="27">
      <c r="A1135" s="81">
        <f t="shared" si="17"/>
        <v>1134</v>
      </c>
      <c r="B1135" s="82" t="s">
        <v>1995</v>
      </c>
      <c r="C1135" s="83" t="s">
        <v>25</v>
      </c>
      <c r="D1135" s="83" t="s">
        <v>17</v>
      </c>
      <c r="E1135" s="84">
        <v>1044</v>
      </c>
      <c r="F1135" s="85">
        <v>4.6500000000000004</v>
      </c>
      <c r="G1135" s="83" t="s">
        <v>255</v>
      </c>
      <c r="H1135" s="83" t="s">
        <v>1991</v>
      </c>
      <c r="I1135" s="85">
        <f>Planejamento2024[[#This Row],[Qnt de Itens]]*Planejamento2024[[#This Row],[Valor unitário]]</f>
        <v>4854.6000000000004</v>
      </c>
      <c r="J1135" s="83" t="s">
        <v>38</v>
      </c>
      <c r="K1135" s="83" t="s">
        <v>415</v>
      </c>
      <c r="L1135" s="86">
        <v>45505</v>
      </c>
      <c r="M1135" s="83" t="s">
        <v>38</v>
      </c>
      <c r="N1135" s="87" t="s">
        <v>1992</v>
      </c>
      <c r="O1135" s="83" t="s">
        <v>827</v>
      </c>
    </row>
    <row r="1136" spans="1:15" ht="27">
      <c r="A1136" s="81">
        <f t="shared" si="17"/>
        <v>1135</v>
      </c>
      <c r="B1136" s="82" t="s">
        <v>1996</v>
      </c>
      <c r="C1136" s="83" t="s">
        <v>25</v>
      </c>
      <c r="D1136" s="83" t="s">
        <v>17</v>
      </c>
      <c r="E1136" s="84">
        <v>7236</v>
      </c>
      <c r="F1136" s="85">
        <v>5.22</v>
      </c>
      <c r="G1136" s="83" t="s">
        <v>255</v>
      </c>
      <c r="H1136" s="83" t="s">
        <v>1991</v>
      </c>
      <c r="I1136" s="85">
        <f>Planejamento2024[[#This Row],[Qnt de Itens]]*Planejamento2024[[#This Row],[Valor unitário]]</f>
        <v>37771.919999999998</v>
      </c>
      <c r="J1136" s="83" t="s">
        <v>38</v>
      </c>
      <c r="K1136" s="83" t="s">
        <v>415</v>
      </c>
      <c r="L1136" s="86">
        <v>45505</v>
      </c>
      <c r="M1136" s="83" t="s">
        <v>38</v>
      </c>
      <c r="N1136" s="87" t="s">
        <v>1992</v>
      </c>
      <c r="O1136" s="83" t="s">
        <v>827</v>
      </c>
    </row>
    <row r="1137" spans="1:15" ht="27">
      <c r="A1137" s="81">
        <f t="shared" si="17"/>
        <v>1136</v>
      </c>
      <c r="B1137" s="82" t="s">
        <v>1997</v>
      </c>
      <c r="C1137" s="83" t="s">
        <v>25</v>
      </c>
      <c r="D1137" s="83" t="s">
        <v>17</v>
      </c>
      <c r="E1137" s="84">
        <v>2256</v>
      </c>
      <c r="F1137" s="85">
        <v>7.99</v>
      </c>
      <c r="G1137" s="83" t="s">
        <v>255</v>
      </c>
      <c r="H1137" s="83" t="s">
        <v>1991</v>
      </c>
      <c r="I1137" s="85">
        <f>Planejamento2024[[#This Row],[Qnt de Itens]]*Planejamento2024[[#This Row],[Valor unitário]]</f>
        <v>18025.439999999999</v>
      </c>
      <c r="J1137" s="83" t="s">
        <v>38</v>
      </c>
      <c r="K1137" s="83" t="s">
        <v>415</v>
      </c>
      <c r="L1137" s="86">
        <v>45505</v>
      </c>
      <c r="M1137" s="83" t="s">
        <v>38</v>
      </c>
      <c r="N1137" s="87" t="s">
        <v>1992</v>
      </c>
      <c r="O1137" s="83" t="s">
        <v>827</v>
      </c>
    </row>
    <row r="1138" spans="1:15" ht="27">
      <c r="A1138" s="81">
        <f t="shared" si="17"/>
        <v>1137</v>
      </c>
      <c r="B1138" s="82" t="s">
        <v>1998</v>
      </c>
      <c r="C1138" s="83" t="s">
        <v>25</v>
      </c>
      <c r="D1138" s="83" t="s">
        <v>17</v>
      </c>
      <c r="E1138" s="84">
        <v>1356</v>
      </c>
      <c r="F1138" s="85">
        <v>6.99</v>
      </c>
      <c r="G1138" s="83" t="s">
        <v>255</v>
      </c>
      <c r="H1138" s="83" t="s">
        <v>1991</v>
      </c>
      <c r="I1138" s="85">
        <f>Planejamento2024[[#This Row],[Qnt de Itens]]*Planejamento2024[[#This Row],[Valor unitário]]</f>
        <v>9478.44</v>
      </c>
      <c r="J1138" s="83" t="s">
        <v>38</v>
      </c>
      <c r="K1138" s="83" t="s">
        <v>415</v>
      </c>
      <c r="L1138" s="86">
        <v>45505</v>
      </c>
      <c r="M1138" s="83" t="s">
        <v>38</v>
      </c>
      <c r="N1138" s="87" t="s">
        <v>1992</v>
      </c>
      <c r="O1138" s="83" t="s">
        <v>827</v>
      </c>
    </row>
    <row r="1139" spans="1:15" ht="27">
      <c r="A1139" s="81">
        <f t="shared" si="17"/>
        <v>1138</v>
      </c>
      <c r="B1139" s="82" t="s">
        <v>1999</v>
      </c>
      <c r="C1139" s="83" t="s">
        <v>25</v>
      </c>
      <c r="D1139" s="83" t="s">
        <v>17</v>
      </c>
      <c r="E1139" s="84">
        <v>864</v>
      </c>
      <c r="F1139" s="85">
        <v>14.65</v>
      </c>
      <c r="G1139" s="83" t="s">
        <v>255</v>
      </c>
      <c r="H1139" s="83" t="s">
        <v>1991</v>
      </c>
      <c r="I1139" s="85">
        <f>Planejamento2024[[#This Row],[Qnt de Itens]]*Planejamento2024[[#This Row],[Valor unitário]]</f>
        <v>12657.6</v>
      </c>
      <c r="J1139" s="83" t="s">
        <v>38</v>
      </c>
      <c r="K1139" s="83" t="s">
        <v>415</v>
      </c>
      <c r="L1139" s="86">
        <v>45505</v>
      </c>
      <c r="M1139" s="83" t="s">
        <v>38</v>
      </c>
      <c r="N1139" s="87" t="s">
        <v>1992</v>
      </c>
      <c r="O1139" s="83" t="s">
        <v>827</v>
      </c>
    </row>
    <row r="1140" spans="1:15" ht="36">
      <c r="A1140" s="81">
        <f t="shared" si="17"/>
        <v>1139</v>
      </c>
      <c r="B1140" s="82" t="s">
        <v>2000</v>
      </c>
      <c r="C1140" s="83" t="s">
        <v>25</v>
      </c>
      <c r="D1140" s="83" t="s">
        <v>17</v>
      </c>
      <c r="E1140" s="84">
        <v>3612</v>
      </c>
      <c r="F1140" s="85">
        <v>29.57</v>
      </c>
      <c r="G1140" s="83" t="s">
        <v>255</v>
      </c>
      <c r="H1140" s="83" t="s">
        <v>1991</v>
      </c>
      <c r="I1140" s="85">
        <f>Planejamento2024[[#This Row],[Qnt de Itens]]*Planejamento2024[[#This Row],[Valor unitário]]</f>
        <v>106806.84</v>
      </c>
      <c r="J1140" s="83" t="s">
        <v>38</v>
      </c>
      <c r="K1140" s="83" t="s">
        <v>415</v>
      </c>
      <c r="L1140" s="86">
        <v>45505</v>
      </c>
      <c r="M1140" s="83" t="s">
        <v>38</v>
      </c>
      <c r="N1140" s="87" t="s">
        <v>1992</v>
      </c>
      <c r="O1140" s="83" t="s">
        <v>827</v>
      </c>
    </row>
    <row r="1141" spans="1:15" ht="27">
      <c r="A1141" s="81">
        <f t="shared" si="17"/>
        <v>1140</v>
      </c>
      <c r="B1141" s="82" t="s">
        <v>2001</v>
      </c>
      <c r="C1141" s="83" t="s">
        <v>25</v>
      </c>
      <c r="D1141" s="83" t="s">
        <v>17</v>
      </c>
      <c r="E1141" s="84">
        <v>1356</v>
      </c>
      <c r="F1141" s="85">
        <v>11.32</v>
      </c>
      <c r="G1141" s="83" t="s">
        <v>255</v>
      </c>
      <c r="H1141" s="83" t="s">
        <v>1991</v>
      </c>
      <c r="I1141" s="85">
        <f>Planejamento2024[[#This Row],[Qnt de Itens]]*Planejamento2024[[#This Row],[Valor unitário]]</f>
        <v>15349.92</v>
      </c>
      <c r="J1141" s="83" t="s">
        <v>38</v>
      </c>
      <c r="K1141" s="83" t="s">
        <v>415</v>
      </c>
      <c r="L1141" s="86">
        <v>45505</v>
      </c>
      <c r="M1141" s="83" t="s">
        <v>38</v>
      </c>
      <c r="N1141" s="87" t="s">
        <v>1992</v>
      </c>
      <c r="O1141" s="83" t="s">
        <v>827</v>
      </c>
    </row>
    <row r="1142" spans="1:15" ht="18">
      <c r="A1142" s="81">
        <f t="shared" si="17"/>
        <v>1141</v>
      </c>
      <c r="B1142" s="82" t="s">
        <v>2002</v>
      </c>
      <c r="C1142" s="83" t="s">
        <v>25</v>
      </c>
      <c r="D1142" s="83" t="s">
        <v>17</v>
      </c>
      <c r="E1142" s="84">
        <v>2256</v>
      </c>
      <c r="F1142" s="85">
        <v>4.99</v>
      </c>
      <c r="G1142" s="83" t="s">
        <v>255</v>
      </c>
      <c r="H1142" s="83" t="s">
        <v>1991</v>
      </c>
      <c r="I1142" s="85">
        <f>Planejamento2024[[#This Row],[Qnt de Itens]]*Planejamento2024[[#This Row],[Valor unitário]]</f>
        <v>11257.44</v>
      </c>
      <c r="J1142" s="83" t="s">
        <v>38</v>
      </c>
      <c r="K1142" s="83" t="s">
        <v>415</v>
      </c>
      <c r="L1142" s="86">
        <v>45505</v>
      </c>
      <c r="M1142" s="83" t="s">
        <v>38</v>
      </c>
      <c r="N1142" s="87" t="s">
        <v>1992</v>
      </c>
      <c r="O1142" s="83" t="s">
        <v>827</v>
      </c>
    </row>
    <row r="1143" spans="1:15" ht="27">
      <c r="A1143" s="81">
        <f t="shared" si="17"/>
        <v>1142</v>
      </c>
      <c r="B1143" s="82" t="s">
        <v>2003</v>
      </c>
      <c r="C1143" s="83" t="s">
        <v>25</v>
      </c>
      <c r="D1143" s="83" t="s">
        <v>17</v>
      </c>
      <c r="E1143" s="84">
        <v>864</v>
      </c>
      <c r="F1143" s="85">
        <v>32.72</v>
      </c>
      <c r="G1143" s="83" t="s">
        <v>255</v>
      </c>
      <c r="H1143" s="83" t="s">
        <v>1991</v>
      </c>
      <c r="I1143" s="85">
        <f>Planejamento2024[[#This Row],[Qnt de Itens]]*Planejamento2024[[#This Row],[Valor unitário]]</f>
        <v>28270.079999999998</v>
      </c>
      <c r="J1143" s="83" t="s">
        <v>38</v>
      </c>
      <c r="K1143" s="83" t="s">
        <v>415</v>
      </c>
      <c r="L1143" s="86">
        <v>45505</v>
      </c>
      <c r="M1143" s="83" t="s">
        <v>38</v>
      </c>
      <c r="N1143" s="87" t="s">
        <v>1992</v>
      </c>
      <c r="O1143" s="83" t="s">
        <v>827</v>
      </c>
    </row>
    <row r="1144" spans="1:15" ht="27">
      <c r="A1144" s="81">
        <f t="shared" si="17"/>
        <v>1143</v>
      </c>
      <c r="B1144" s="82" t="s">
        <v>2004</v>
      </c>
      <c r="C1144" s="83" t="s">
        <v>25</v>
      </c>
      <c r="D1144" s="83" t="s">
        <v>17</v>
      </c>
      <c r="E1144" s="84">
        <v>1356</v>
      </c>
      <c r="F1144" s="85">
        <v>16.440000000000001</v>
      </c>
      <c r="G1144" s="83" t="s">
        <v>255</v>
      </c>
      <c r="H1144" s="83" t="s">
        <v>1991</v>
      </c>
      <c r="I1144" s="85">
        <f>Planejamento2024[[#This Row],[Qnt de Itens]]*Planejamento2024[[#This Row],[Valor unitário]]</f>
        <v>22292.640000000003</v>
      </c>
      <c r="J1144" s="83" t="s">
        <v>38</v>
      </c>
      <c r="K1144" s="83" t="s">
        <v>415</v>
      </c>
      <c r="L1144" s="86">
        <v>45505</v>
      </c>
      <c r="M1144" s="83" t="s">
        <v>38</v>
      </c>
      <c r="N1144" s="87" t="s">
        <v>1992</v>
      </c>
      <c r="O1144" s="83" t="s">
        <v>827</v>
      </c>
    </row>
    <row r="1145" spans="1:15" ht="18">
      <c r="A1145" s="81">
        <f t="shared" si="17"/>
        <v>1144</v>
      </c>
      <c r="B1145" s="82" t="s">
        <v>2005</v>
      </c>
      <c r="C1145" s="83" t="s">
        <v>25</v>
      </c>
      <c r="D1145" s="83" t="s">
        <v>17</v>
      </c>
      <c r="E1145" s="84">
        <v>1044</v>
      </c>
      <c r="F1145" s="85">
        <v>7.89</v>
      </c>
      <c r="G1145" s="83" t="s">
        <v>255</v>
      </c>
      <c r="H1145" s="83" t="s">
        <v>1991</v>
      </c>
      <c r="I1145" s="85">
        <f>Planejamento2024[[#This Row],[Qnt de Itens]]*Planejamento2024[[#This Row],[Valor unitário]]</f>
        <v>8237.16</v>
      </c>
      <c r="J1145" s="83" t="s">
        <v>38</v>
      </c>
      <c r="K1145" s="83" t="s">
        <v>415</v>
      </c>
      <c r="L1145" s="86">
        <v>45505</v>
      </c>
      <c r="M1145" s="83" t="s">
        <v>38</v>
      </c>
      <c r="N1145" s="87" t="s">
        <v>1992</v>
      </c>
      <c r="O1145" s="83" t="s">
        <v>827</v>
      </c>
    </row>
    <row r="1146" spans="1:15" ht="36">
      <c r="A1146" s="81">
        <f t="shared" si="17"/>
        <v>1145</v>
      </c>
      <c r="B1146" s="82" t="s">
        <v>2006</v>
      </c>
      <c r="C1146" s="83" t="s">
        <v>25</v>
      </c>
      <c r="D1146" s="83" t="s">
        <v>17</v>
      </c>
      <c r="E1146" s="84">
        <v>27120</v>
      </c>
      <c r="F1146" s="85">
        <v>9.16</v>
      </c>
      <c r="G1146" s="83" t="s">
        <v>255</v>
      </c>
      <c r="H1146" s="83" t="s">
        <v>1991</v>
      </c>
      <c r="I1146" s="85">
        <f>Planejamento2024[[#This Row],[Qnt de Itens]]*Planejamento2024[[#This Row],[Valor unitário]]</f>
        <v>248419.20000000001</v>
      </c>
      <c r="J1146" s="83" t="s">
        <v>38</v>
      </c>
      <c r="K1146" s="83" t="s">
        <v>415</v>
      </c>
      <c r="L1146" s="86">
        <v>45505</v>
      </c>
      <c r="M1146" s="83" t="s">
        <v>38</v>
      </c>
      <c r="N1146" s="87" t="s">
        <v>1992</v>
      </c>
      <c r="O1146" s="83" t="s">
        <v>827</v>
      </c>
    </row>
    <row r="1147" spans="1:15" ht="27">
      <c r="A1147" s="81">
        <f t="shared" si="17"/>
        <v>1146</v>
      </c>
      <c r="B1147" s="82" t="s">
        <v>2007</v>
      </c>
      <c r="C1147" s="83" t="s">
        <v>25</v>
      </c>
      <c r="D1147" s="83" t="s">
        <v>17</v>
      </c>
      <c r="E1147" s="84">
        <v>1356</v>
      </c>
      <c r="F1147" s="85">
        <v>6.99</v>
      </c>
      <c r="G1147" s="83" t="s">
        <v>255</v>
      </c>
      <c r="H1147" s="83" t="s">
        <v>1991</v>
      </c>
      <c r="I1147" s="85">
        <f>Planejamento2024[[#This Row],[Qnt de Itens]]*Planejamento2024[[#This Row],[Valor unitário]]</f>
        <v>9478.44</v>
      </c>
      <c r="J1147" s="83" t="s">
        <v>38</v>
      </c>
      <c r="K1147" s="83" t="s">
        <v>415</v>
      </c>
      <c r="L1147" s="86">
        <v>45505</v>
      </c>
      <c r="M1147" s="83" t="s">
        <v>38</v>
      </c>
      <c r="N1147" s="87" t="s">
        <v>1992</v>
      </c>
      <c r="O1147" s="83" t="s">
        <v>827</v>
      </c>
    </row>
    <row r="1148" spans="1:15" ht="27">
      <c r="A1148" s="81">
        <f t="shared" si="17"/>
        <v>1147</v>
      </c>
      <c r="B1148" s="82" t="s">
        <v>2008</v>
      </c>
      <c r="C1148" s="83" t="s">
        <v>25</v>
      </c>
      <c r="D1148" s="83" t="s">
        <v>17</v>
      </c>
      <c r="E1148" s="84">
        <v>5424</v>
      </c>
      <c r="F1148" s="85">
        <v>9.15</v>
      </c>
      <c r="G1148" s="83" t="s">
        <v>255</v>
      </c>
      <c r="H1148" s="83" t="s">
        <v>1991</v>
      </c>
      <c r="I1148" s="85">
        <f>Planejamento2024[[#This Row],[Qnt de Itens]]*Planejamento2024[[#This Row],[Valor unitário]]</f>
        <v>49629.599999999999</v>
      </c>
      <c r="J1148" s="83" t="s">
        <v>38</v>
      </c>
      <c r="K1148" s="83" t="s">
        <v>415</v>
      </c>
      <c r="L1148" s="86">
        <v>45505</v>
      </c>
      <c r="M1148" s="83" t="s">
        <v>38</v>
      </c>
      <c r="N1148" s="87" t="s">
        <v>1992</v>
      </c>
      <c r="O1148" s="83" t="s">
        <v>827</v>
      </c>
    </row>
    <row r="1149" spans="1:15" ht="54">
      <c r="A1149" s="81">
        <f t="shared" si="17"/>
        <v>1148</v>
      </c>
      <c r="B1149" s="82" t="s">
        <v>2009</v>
      </c>
      <c r="C1149" s="83" t="s">
        <v>25</v>
      </c>
      <c r="D1149" s="83" t="s">
        <v>17</v>
      </c>
      <c r="E1149" s="84">
        <v>33000</v>
      </c>
      <c r="F1149" s="88">
        <v>2.2400000000000002</v>
      </c>
      <c r="G1149" s="83" t="s">
        <v>885</v>
      </c>
      <c r="H1149" s="83" t="s">
        <v>1991</v>
      </c>
      <c r="I1149" s="88">
        <f>Planejamento2024[[#This Row],[Qnt de Itens]]*Planejamento2024[[#This Row],[Valor unitário]]</f>
        <v>73920</v>
      </c>
      <c r="J1149" s="83" t="s">
        <v>38</v>
      </c>
      <c r="K1149" s="83" t="s">
        <v>415</v>
      </c>
      <c r="L1149" s="86">
        <v>45505</v>
      </c>
      <c r="M1149" s="83" t="s">
        <v>38</v>
      </c>
      <c r="N1149" s="87" t="s">
        <v>2010</v>
      </c>
      <c r="O1149" s="83" t="s">
        <v>827</v>
      </c>
    </row>
    <row r="1150" spans="1:15" ht="54">
      <c r="A1150" s="81">
        <f t="shared" si="17"/>
        <v>1149</v>
      </c>
      <c r="B1150" s="82" t="s">
        <v>2011</v>
      </c>
      <c r="C1150" s="83" t="s">
        <v>34</v>
      </c>
      <c r="D1150" s="83" t="s">
        <v>35</v>
      </c>
      <c r="E1150" s="84">
        <v>33000</v>
      </c>
      <c r="F1150" s="88">
        <v>3.37</v>
      </c>
      <c r="G1150" s="83" t="s">
        <v>885</v>
      </c>
      <c r="H1150" s="83" t="s">
        <v>1991</v>
      </c>
      <c r="I1150" s="88">
        <f>Planejamento2024[[#This Row],[Qnt de Itens]]*Planejamento2024[[#This Row],[Valor unitário]]</f>
        <v>111210</v>
      </c>
      <c r="J1150" s="83" t="s">
        <v>38</v>
      </c>
      <c r="K1150" s="83" t="s">
        <v>415</v>
      </c>
      <c r="L1150" s="86">
        <v>45505</v>
      </c>
      <c r="M1150" s="83" t="s">
        <v>38</v>
      </c>
      <c r="N1150" s="87" t="s">
        <v>2010</v>
      </c>
      <c r="O1150" s="83" t="s">
        <v>827</v>
      </c>
    </row>
    <row r="1151" spans="1:15" ht="63">
      <c r="A1151" s="81">
        <f t="shared" si="17"/>
        <v>1150</v>
      </c>
      <c r="B1151" s="82" t="s">
        <v>2012</v>
      </c>
      <c r="C1151" s="83" t="s">
        <v>25</v>
      </c>
      <c r="D1151" s="83" t="s">
        <v>17</v>
      </c>
      <c r="E1151" s="84">
        <v>186000</v>
      </c>
      <c r="F1151" s="88">
        <v>2.93</v>
      </c>
      <c r="G1151" s="83" t="s">
        <v>885</v>
      </c>
      <c r="H1151" s="83" t="s">
        <v>1991</v>
      </c>
      <c r="I1151" s="88">
        <f>Planejamento2024[[#This Row],[Qnt de Itens]]*Planejamento2024[[#This Row],[Valor unitário]]</f>
        <v>544980</v>
      </c>
      <c r="J1151" s="83" t="s">
        <v>38</v>
      </c>
      <c r="K1151" s="83" t="s">
        <v>415</v>
      </c>
      <c r="L1151" s="86">
        <v>45505</v>
      </c>
      <c r="M1151" s="83" t="s">
        <v>38</v>
      </c>
      <c r="N1151" s="87" t="s">
        <v>2010</v>
      </c>
      <c r="O1151" s="83" t="s">
        <v>827</v>
      </c>
    </row>
    <row r="1152" spans="1:15" ht="63">
      <c r="A1152" s="81">
        <f t="shared" si="17"/>
        <v>1151</v>
      </c>
      <c r="B1152" s="82" t="s">
        <v>2013</v>
      </c>
      <c r="C1152" s="83" t="s">
        <v>34</v>
      </c>
      <c r="D1152" s="83" t="s">
        <v>35</v>
      </c>
      <c r="E1152" s="84">
        <v>186000</v>
      </c>
      <c r="F1152" s="88">
        <v>4.4000000000000004</v>
      </c>
      <c r="G1152" s="83" t="s">
        <v>885</v>
      </c>
      <c r="H1152" s="83" t="s">
        <v>1991</v>
      </c>
      <c r="I1152" s="88">
        <f>Planejamento2024[[#This Row],[Qnt de Itens]]*Planejamento2024[[#This Row],[Valor unitário]]</f>
        <v>818400.00000000012</v>
      </c>
      <c r="J1152" s="83" t="s">
        <v>38</v>
      </c>
      <c r="K1152" s="83" t="s">
        <v>415</v>
      </c>
      <c r="L1152" s="86">
        <v>45505</v>
      </c>
      <c r="M1152" s="83" t="s">
        <v>38</v>
      </c>
      <c r="N1152" s="87" t="s">
        <v>2010</v>
      </c>
      <c r="O1152" s="83" t="s">
        <v>827</v>
      </c>
    </row>
    <row r="1153" spans="1:15" ht="63">
      <c r="A1153" s="81">
        <f t="shared" si="17"/>
        <v>1152</v>
      </c>
      <c r="B1153" s="82" t="s">
        <v>2014</v>
      </c>
      <c r="C1153" s="83" t="s">
        <v>25</v>
      </c>
      <c r="D1153" s="83" t="s">
        <v>17</v>
      </c>
      <c r="E1153" s="84">
        <v>652200</v>
      </c>
      <c r="F1153" s="88">
        <v>2.82</v>
      </c>
      <c r="G1153" s="83" t="s">
        <v>885</v>
      </c>
      <c r="H1153" s="83" t="s">
        <v>1991</v>
      </c>
      <c r="I1153" s="88">
        <f>Planejamento2024[[#This Row],[Qnt de Itens]]*Planejamento2024[[#This Row],[Valor unitário]]</f>
        <v>1839204</v>
      </c>
      <c r="J1153" s="83" t="s">
        <v>38</v>
      </c>
      <c r="K1153" s="83" t="s">
        <v>415</v>
      </c>
      <c r="L1153" s="86">
        <v>45505</v>
      </c>
      <c r="M1153" s="83" t="s">
        <v>38</v>
      </c>
      <c r="N1153" s="87" t="s">
        <v>2010</v>
      </c>
      <c r="O1153" s="83" t="s">
        <v>827</v>
      </c>
    </row>
    <row r="1154" spans="1:15" ht="63">
      <c r="A1154" s="81">
        <f t="shared" ref="A1154:A1217" si="18">ROW(A1153)</f>
        <v>1153</v>
      </c>
      <c r="B1154" s="82" t="s">
        <v>2015</v>
      </c>
      <c r="C1154" s="83" t="s">
        <v>34</v>
      </c>
      <c r="D1154" s="83" t="s">
        <v>35</v>
      </c>
      <c r="E1154" s="84">
        <v>652200</v>
      </c>
      <c r="F1154" s="88">
        <v>4.24</v>
      </c>
      <c r="G1154" s="83" t="s">
        <v>885</v>
      </c>
      <c r="H1154" s="83" t="s">
        <v>1991</v>
      </c>
      <c r="I1154" s="88">
        <f>Planejamento2024[[#This Row],[Qnt de Itens]]*Planejamento2024[[#This Row],[Valor unitário]]</f>
        <v>2765328</v>
      </c>
      <c r="J1154" s="83" t="s">
        <v>38</v>
      </c>
      <c r="K1154" s="83" t="s">
        <v>415</v>
      </c>
      <c r="L1154" s="86">
        <v>45505</v>
      </c>
      <c r="M1154" s="83" t="s">
        <v>38</v>
      </c>
      <c r="N1154" s="87" t="s">
        <v>2010</v>
      </c>
      <c r="O1154" s="83" t="s">
        <v>827</v>
      </c>
    </row>
    <row r="1155" spans="1:15" ht="54">
      <c r="A1155" s="81">
        <f t="shared" si="18"/>
        <v>1154</v>
      </c>
      <c r="B1155" s="82" t="s">
        <v>2016</v>
      </c>
      <c r="C1155" s="83" t="s">
        <v>25</v>
      </c>
      <c r="D1155" s="83" t="s">
        <v>17</v>
      </c>
      <c r="E1155" s="84">
        <v>78000</v>
      </c>
      <c r="F1155" s="88">
        <v>3.9</v>
      </c>
      <c r="G1155" s="83" t="s">
        <v>885</v>
      </c>
      <c r="H1155" s="83" t="s">
        <v>1991</v>
      </c>
      <c r="I1155" s="88">
        <f>Planejamento2024[[#This Row],[Qnt de Itens]]*Planejamento2024[[#This Row],[Valor unitário]]</f>
        <v>304200</v>
      </c>
      <c r="J1155" s="83" t="s">
        <v>38</v>
      </c>
      <c r="K1155" s="83" t="s">
        <v>415</v>
      </c>
      <c r="L1155" s="86">
        <v>45505</v>
      </c>
      <c r="M1155" s="83" t="s">
        <v>38</v>
      </c>
      <c r="N1155" s="87" t="s">
        <v>2010</v>
      </c>
      <c r="O1155" s="83" t="s">
        <v>827</v>
      </c>
    </row>
    <row r="1156" spans="1:15" ht="54">
      <c r="A1156" s="81">
        <f t="shared" si="18"/>
        <v>1155</v>
      </c>
      <c r="B1156" s="82" t="s">
        <v>2017</v>
      </c>
      <c r="C1156" s="83" t="s">
        <v>34</v>
      </c>
      <c r="D1156" s="83" t="s">
        <v>35</v>
      </c>
      <c r="E1156" s="84">
        <v>78000</v>
      </c>
      <c r="F1156" s="88">
        <v>5.86</v>
      </c>
      <c r="G1156" s="83" t="s">
        <v>885</v>
      </c>
      <c r="H1156" s="83" t="s">
        <v>1991</v>
      </c>
      <c r="I1156" s="88">
        <f>Planejamento2024[[#This Row],[Qnt de Itens]]*Planejamento2024[[#This Row],[Valor unitário]]</f>
        <v>457080</v>
      </c>
      <c r="J1156" s="83" t="s">
        <v>38</v>
      </c>
      <c r="K1156" s="83" t="s">
        <v>415</v>
      </c>
      <c r="L1156" s="86">
        <v>45505</v>
      </c>
      <c r="M1156" s="83" t="s">
        <v>38</v>
      </c>
      <c r="N1156" s="87" t="s">
        <v>2010</v>
      </c>
      <c r="O1156" s="83" t="s">
        <v>827</v>
      </c>
    </row>
    <row r="1157" spans="1:15" ht="63">
      <c r="A1157" s="81">
        <f t="shared" si="18"/>
        <v>1156</v>
      </c>
      <c r="B1157" s="82" t="s">
        <v>2018</v>
      </c>
      <c r="C1157" s="83" t="s">
        <v>25</v>
      </c>
      <c r="D1157" s="83" t="s">
        <v>17</v>
      </c>
      <c r="E1157" s="84">
        <v>90000</v>
      </c>
      <c r="F1157" s="88">
        <v>3.76</v>
      </c>
      <c r="G1157" s="83" t="s">
        <v>885</v>
      </c>
      <c r="H1157" s="83" t="s">
        <v>1991</v>
      </c>
      <c r="I1157" s="88">
        <f>Planejamento2024[[#This Row],[Qnt de Itens]]*Planejamento2024[[#This Row],[Valor unitário]]</f>
        <v>338400</v>
      </c>
      <c r="J1157" s="83" t="s">
        <v>38</v>
      </c>
      <c r="K1157" s="83" t="s">
        <v>415</v>
      </c>
      <c r="L1157" s="86">
        <v>45505</v>
      </c>
      <c r="M1157" s="83" t="s">
        <v>38</v>
      </c>
      <c r="N1157" s="87" t="s">
        <v>2010</v>
      </c>
      <c r="O1157" s="83" t="s">
        <v>827</v>
      </c>
    </row>
    <row r="1158" spans="1:15" ht="63">
      <c r="A1158" s="81">
        <f t="shared" si="18"/>
        <v>1157</v>
      </c>
      <c r="B1158" s="82" t="s">
        <v>2019</v>
      </c>
      <c r="C1158" s="83" t="s">
        <v>34</v>
      </c>
      <c r="D1158" s="83" t="s">
        <v>35</v>
      </c>
      <c r="E1158" s="84">
        <v>90000</v>
      </c>
      <c r="F1158" s="88">
        <v>5.64</v>
      </c>
      <c r="G1158" s="83" t="s">
        <v>885</v>
      </c>
      <c r="H1158" s="83" t="s">
        <v>1991</v>
      </c>
      <c r="I1158" s="88">
        <f>Planejamento2024[[#This Row],[Qnt de Itens]]*Planejamento2024[[#This Row],[Valor unitário]]</f>
        <v>507600</v>
      </c>
      <c r="J1158" s="83" t="s">
        <v>38</v>
      </c>
      <c r="K1158" s="83" t="s">
        <v>415</v>
      </c>
      <c r="L1158" s="86">
        <v>45505</v>
      </c>
      <c r="M1158" s="83" t="s">
        <v>38</v>
      </c>
      <c r="N1158" s="87" t="s">
        <v>2010</v>
      </c>
      <c r="O1158" s="83" t="s">
        <v>827</v>
      </c>
    </row>
    <row r="1159" spans="1:15" ht="36">
      <c r="A1159" s="81">
        <f t="shared" si="18"/>
        <v>1158</v>
      </c>
      <c r="B1159" s="82" t="s">
        <v>2020</v>
      </c>
      <c r="C1159" s="83" t="s">
        <v>34</v>
      </c>
      <c r="D1159" s="83" t="s">
        <v>35</v>
      </c>
      <c r="E1159" s="84">
        <v>14400</v>
      </c>
      <c r="F1159" s="88">
        <v>5.43</v>
      </c>
      <c r="G1159" s="83" t="s">
        <v>885</v>
      </c>
      <c r="H1159" s="83" t="s">
        <v>1991</v>
      </c>
      <c r="I1159" s="88">
        <f>Planejamento2024[[#This Row],[Qnt de Itens]]*Planejamento2024[[#This Row],[Valor unitário]]</f>
        <v>78192</v>
      </c>
      <c r="J1159" s="83" t="s">
        <v>38</v>
      </c>
      <c r="K1159" s="83" t="s">
        <v>415</v>
      </c>
      <c r="L1159" s="86">
        <v>45505</v>
      </c>
      <c r="M1159" s="83" t="s">
        <v>38</v>
      </c>
      <c r="N1159" s="87" t="s">
        <v>2010</v>
      </c>
      <c r="O1159" s="83" t="s">
        <v>827</v>
      </c>
    </row>
    <row r="1160" spans="1:15" ht="45">
      <c r="A1160" s="81">
        <f t="shared" si="18"/>
        <v>1159</v>
      </c>
      <c r="B1160" s="82" t="s">
        <v>2021</v>
      </c>
      <c r="C1160" s="83" t="s">
        <v>25</v>
      </c>
      <c r="D1160" s="83" t="s">
        <v>17</v>
      </c>
      <c r="E1160" s="84">
        <v>37800</v>
      </c>
      <c r="F1160" s="88">
        <v>2.06</v>
      </c>
      <c r="G1160" s="83" t="s">
        <v>885</v>
      </c>
      <c r="H1160" s="83" t="s">
        <v>1991</v>
      </c>
      <c r="I1160" s="88">
        <f>Planejamento2024[[#This Row],[Qnt de Itens]]*Planejamento2024[[#This Row],[Valor unitário]]</f>
        <v>77868</v>
      </c>
      <c r="J1160" s="83" t="s">
        <v>38</v>
      </c>
      <c r="K1160" s="83" t="s">
        <v>415</v>
      </c>
      <c r="L1160" s="86">
        <v>45505</v>
      </c>
      <c r="M1160" s="83" t="s">
        <v>38</v>
      </c>
      <c r="N1160" s="87" t="s">
        <v>2010</v>
      </c>
      <c r="O1160" s="83" t="s">
        <v>827</v>
      </c>
    </row>
    <row r="1161" spans="1:15" ht="45">
      <c r="A1161" s="81">
        <f t="shared" si="18"/>
        <v>1160</v>
      </c>
      <c r="B1161" s="82" t="s">
        <v>2022</v>
      </c>
      <c r="C1161" s="83" t="s">
        <v>34</v>
      </c>
      <c r="D1161" s="83" t="s">
        <v>35</v>
      </c>
      <c r="E1161" s="84">
        <v>37800</v>
      </c>
      <c r="F1161" s="88">
        <v>3.09</v>
      </c>
      <c r="G1161" s="83" t="s">
        <v>885</v>
      </c>
      <c r="H1161" s="83" t="s">
        <v>1991</v>
      </c>
      <c r="I1161" s="88">
        <f>Planejamento2024[[#This Row],[Qnt de Itens]]*Planejamento2024[[#This Row],[Valor unitário]]</f>
        <v>116802</v>
      </c>
      <c r="J1161" s="83" t="s">
        <v>38</v>
      </c>
      <c r="K1161" s="83" t="s">
        <v>415</v>
      </c>
      <c r="L1161" s="86">
        <v>45505</v>
      </c>
      <c r="M1161" s="83" t="s">
        <v>38</v>
      </c>
      <c r="N1161" s="87" t="s">
        <v>2010</v>
      </c>
      <c r="O1161" s="83" t="s">
        <v>827</v>
      </c>
    </row>
    <row r="1162" spans="1:15" ht="27">
      <c r="A1162" s="81">
        <f t="shared" si="18"/>
        <v>1161</v>
      </c>
      <c r="B1162" s="82" t="s">
        <v>2023</v>
      </c>
      <c r="C1162" s="83" t="s">
        <v>34</v>
      </c>
      <c r="D1162" s="83" t="s">
        <v>35</v>
      </c>
      <c r="E1162" s="84">
        <v>18000</v>
      </c>
      <c r="F1162" s="88">
        <v>12.15</v>
      </c>
      <c r="G1162" s="83" t="s">
        <v>885</v>
      </c>
      <c r="H1162" s="83" t="s">
        <v>1991</v>
      </c>
      <c r="I1162" s="88">
        <f>Planejamento2024[[#This Row],[Qnt de Itens]]*Planejamento2024[[#This Row],[Valor unitário]]</f>
        <v>218700</v>
      </c>
      <c r="J1162" s="83" t="s">
        <v>38</v>
      </c>
      <c r="K1162" s="83" t="s">
        <v>415</v>
      </c>
      <c r="L1162" s="86">
        <v>45505</v>
      </c>
      <c r="M1162" s="83" t="s">
        <v>38</v>
      </c>
      <c r="N1162" s="87" t="s">
        <v>2010</v>
      </c>
      <c r="O1162" s="83" t="s">
        <v>827</v>
      </c>
    </row>
    <row r="1163" spans="1:15" ht="27">
      <c r="A1163" s="81">
        <f t="shared" si="18"/>
        <v>1162</v>
      </c>
      <c r="B1163" s="82" t="s">
        <v>2023</v>
      </c>
      <c r="C1163" s="83" t="s">
        <v>25</v>
      </c>
      <c r="D1163" s="83" t="s">
        <v>17</v>
      </c>
      <c r="E1163" s="84">
        <v>18000</v>
      </c>
      <c r="F1163" s="88">
        <v>18.100000000000001</v>
      </c>
      <c r="G1163" s="83" t="s">
        <v>885</v>
      </c>
      <c r="H1163" s="83" t="s">
        <v>1991</v>
      </c>
      <c r="I1163" s="88">
        <f>Planejamento2024[[#This Row],[Qnt de Itens]]*Planejamento2024[[#This Row],[Valor unitário]]</f>
        <v>325800</v>
      </c>
      <c r="J1163" s="83" t="s">
        <v>38</v>
      </c>
      <c r="K1163" s="83" t="s">
        <v>415</v>
      </c>
      <c r="L1163" s="86">
        <v>45505</v>
      </c>
      <c r="M1163" s="83" t="s">
        <v>38</v>
      </c>
      <c r="N1163" s="87" t="s">
        <v>2010</v>
      </c>
      <c r="O1163" s="83" t="s">
        <v>827</v>
      </c>
    </row>
    <row r="1164" spans="1:15" ht="36">
      <c r="A1164" s="81">
        <f t="shared" si="18"/>
        <v>1163</v>
      </c>
      <c r="B1164" s="82" t="s">
        <v>2024</v>
      </c>
      <c r="C1164" s="83" t="s">
        <v>25</v>
      </c>
      <c r="D1164" s="83" t="s">
        <v>17</v>
      </c>
      <c r="E1164" s="84">
        <v>20400</v>
      </c>
      <c r="F1164" s="88">
        <v>5.09</v>
      </c>
      <c r="G1164" s="83" t="s">
        <v>885</v>
      </c>
      <c r="H1164" s="83" t="s">
        <v>1991</v>
      </c>
      <c r="I1164" s="88">
        <f>Planejamento2024[[#This Row],[Qnt de Itens]]*Planejamento2024[[#This Row],[Valor unitário]]</f>
        <v>103836</v>
      </c>
      <c r="J1164" s="83" t="s">
        <v>38</v>
      </c>
      <c r="K1164" s="83" t="s">
        <v>415</v>
      </c>
      <c r="L1164" s="86">
        <v>45505</v>
      </c>
      <c r="M1164" s="83" t="s">
        <v>38</v>
      </c>
      <c r="N1164" s="87" t="s">
        <v>2010</v>
      </c>
      <c r="O1164" s="83" t="s">
        <v>827</v>
      </c>
    </row>
    <row r="1165" spans="1:15" ht="36">
      <c r="A1165" s="81">
        <f t="shared" si="18"/>
        <v>1164</v>
      </c>
      <c r="B1165" s="82" t="s">
        <v>2024</v>
      </c>
      <c r="C1165" s="83" t="s">
        <v>34</v>
      </c>
      <c r="D1165" s="83" t="s">
        <v>35</v>
      </c>
      <c r="E1165" s="84">
        <v>20400</v>
      </c>
      <c r="F1165" s="88">
        <v>7.64</v>
      </c>
      <c r="G1165" s="83" t="s">
        <v>885</v>
      </c>
      <c r="H1165" s="83" t="s">
        <v>1991</v>
      </c>
      <c r="I1165" s="88">
        <f>Planejamento2024[[#This Row],[Qnt de Itens]]*Planejamento2024[[#This Row],[Valor unitário]]</f>
        <v>155856</v>
      </c>
      <c r="J1165" s="83" t="s">
        <v>38</v>
      </c>
      <c r="K1165" s="83" t="s">
        <v>415</v>
      </c>
      <c r="L1165" s="86">
        <v>45505</v>
      </c>
      <c r="M1165" s="83" t="s">
        <v>38</v>
      </c>
      <c r="N1165" s="87" t="s">
        <v>2010</v>
      </c>
      <c r="O1165" s="83" t="s">
        <v>827</v>
      </c>
    </row>
    <row r="1166" spans="1:15" ht="27">
      <c r="A1166" s="81">
        <f t="shared" si="18"/>
        <v>1165</v>
      </c>
      <c r="B1166" s="82" t="s">
        <v>2025</v>
      </c>
      <c r="C1166" s="83" t="s">
        <v>25</v>
      </c>
      <c r="D1166" s="83" t="s">
        <v>17</v>
      </c>
      <c r="E1166" s="84">
        <v>8279</v>
      </c>
      <c r="F1166" s="88">
        <v>3.89</v>
      </c>
      <c r="G1166" s="83" t="s">
        <v>885</v>
      </c>
      <c r="H1166" s="83" t="s">
        <v>1991</v>
      </c>
      <c r="I1166" s="88">
        <f>Planejamento2024[[#This Row],[Qnt de Itens]]*Planejamento2024[[#This Row],[Valor unitário]]</f>
        <v>32205.31</v>
      </c>
      <c r="J1166" s="83" t="s">
        <v>38</v>
      </c>
      <c r="K1166" s="83" t="s">
        <v>415</v>
      </c>
      <c r="L1166" s="86">
        <v>45505</v>
      </c>
      <c r="M1166" s="83" t="s">
        <v>38</v>
      </c>
      <c r="N1166" s="87" t="s">
        <v>2010</v>
      </c>
      <c r="O1166" s="83" t="s">
        <v>827</v>
      </c>
    </row>
    <row r="1167" spans="1:15" ht="27">
      <c r="A1167" s="81">
        <f t="shared" si="18"/>
        <v>1166</v>
      </c>
      <c r="B1167" s="82" t="s">
        <v>2026</v>
      </c>
      <c r="C1167" s="83" t="s">
        <v>25</v>
      </c>
      <c r="D1167" s="83" t="s">
        <v>17</v>
      </c>
      <c r="E1167" s="84">
        <v>103400</v>
      </c>
      <c r="F1167" s="88">
        <v>8.1199999999999992</v>
      </c>
      <c r="G1167" s="83" t="s">
        <v>885</v>
      </c>
      <c r="H1167" s="83" t="s">
        <v>1991</v>
      </c>
      <c r="I1167" s="88">
        <f>Planejamento2024[[#This Row],[Qnt de Itens]]*Planejamento2024[[#This Row],[Valor unitário]]</f>
        <v>839607.99999999988</v>
      </c>
      <c r="J1167" s="83" t="s">
        <v>38</v>
      </c>
      <c r="K1167" s="83" t="s">
        <v>415</v>
      </c>
      <c r="L1167" s="86">
        <v>45505</v>
      </c>
      <c r="M1167" s="83" t="s">
        <v>38</v>
      </c>
      <c r="N1167" s="87" t="s">
        <v>2010</v>
      </c>
      <c r="O1167" s="83" t="s">
        <v>827</v>
      </c>
    </row>
    <row r="1168" spans="1:15" ht="27">
      <c r="A1168" s="81">
        <f t="shared" si="18"/>
        <v>1167</v>
      </c>
      <c r="B1168" s="82" t="s">
        <v>2026</v>
      </c>
      <c r="C1168" s="83" t="s">
        <v>34</v>
      </c>
      <c r="D1168" s="83" t="s">
        <v>35</v>
      </c>
      <c r="E1168" s="84">
        <v>103400</v>
      </c>
      <c r="F1168" s="88">
        <v>12.19</v>
      </c>
      <c r="G1168" s="83" t="s">
        <v>885</v>
      </c>
      <c r="H1168" s="83" t="s">
        <v>1991</v>
      </c>
      <c r="I1168" s="88">
        <f>Planejamento2024[[#This Row],[Qnt de Itens]]*Planejamento2024[[#This Row],[Valor unitário]]</f>
        <v>1260446</v>
      </c>
      <c r="J1168" s="83" t="s">
        <v>38</v>
      </c>
      <c r="K1168" s="83" t="s">
        <v>415</v>
      </c>
      <c r="L1168" s="86">
        <v>45505</v>
      </c>
      <c r="M1168" s="83" t="s">
        <v>38</v>
      </c>
      <c r="N1168" s="87" t="s">
        <v>2010</v>
      </c>
      <c r="O1168" s="83" t="s">
        <v>827</v>
      </c>
    </row>
    <row r="1169" spans="1:15" ht="36">
      <c r="A1169" s="81">
        <f t="shared" si="18"/>
        <v>1168</v>
      </c>
      <c r="B1169" s="82" t="s">
        <v>2027</v>
      </c>
      <c r="C1169" s="83" t="s">
        <v>25</v>
      </c>
      <c r="D1169" s="83" t="s">
        <v>17</v>
      </c>
      <c r="E1169" s="84">
        <v>48400</v>
      </c>
      <c r="F1169" s="88">
        <v>5.26</v>
      </c>
      <c r="G1169" s="83" t="s">
        <v>885</v>
      </c>
      <c r="H1169" s="83" t="s">
        <v>1991</v>
      </c>
      <c r="I1169" s="88">
        <f>Planejamento2024[[#This Row],[Qnt de Itens]]*Planejamento2024[[#This Row],[Valor unitário]]</f>
        <v>254584</v>
      </c>
      <c r="J1169" s="83" t="s">
        <v>38</v>
      </c>
      <c r="K1169" s="83" t="s">
        <v>415</v>
      </c>
      <c r="L1169" s="86">
        <v>45505</v>
      </c>
      <c r="M1169" s="83" t="s">
        <v>38</v>
      </c>
      <c r="N1169" s="87" t="s">
        <v>2010</v>
      </c>
      <c r="O1169" s="83" t="s">
        <v>827</v>
      </c>
    </row>
    <row r="1170" spans="1:15" ht="36">
      <c r="A1170" s="81">
        <f t="shared" si="18"/>
        <v>1169</v>
      </c>
      <c r="B1170" s="82" t="s">
        <v>2027</v>
      </c>
      <c r="C1170" s="83" t="s">
        <v>34</v>
      </c>
      <c r="D1170" s="83" t="s">
        <v>35</v>
      </c>
      <c r="E1170" s="84">
        <v>48400</v>
      </c>
      <c r="F1170" s="88">
        <v>7.9</v>
      </c>
      <c r="G1170" s="83" t="s">
        <v>885</v>
      </c>
      <c r="H1170" s="83" t="s">
        <v>1991</v>
      </c>
      <c r="I1170" s="88">
        <f>Planejamento2024[[#This Row],[Qnt de Itens]]*Planejamento2024[[#This Row],[Valor unitário]]</f>
        <v>382360</v>
      </c>
      <c r="J1170" s="83" t="s">
        <v>38</v>
      </c>
      <c r="K1170" s="83" t="s">
        <v>415</v>
      </c>
      <c r="L1170" s="86">
        <v>45505</v>
      </c>
      <c r="M1170" s="83" t="s">
        <v>38</v>
      </c>
      <c r="N1170" s="87" t="s">
        <v>2010</v>
      </c>
      <c r="O1170" s="83" t="s">
        <v>827</v>
      </c>
    </row>
    <row r="1171" spans="1:15" ht="27">
      <c r="A1171" s="81">
        <f t="shared" si="18"/>
        <v>1170</v>
      </c>
      <c r="B1171" s="82" t="s">
        <v>2028</v>
      </c>
      <c r="C1171" s="83" t="s">
        <v>25</v>
      </c>
      <c r="D1171" s="83" t="s">
        <v>17</v>
      </c>
      <c r="E1171" s="84">
        <v>124200</v>
      </c>
      <c r="F1171" s="88">
        <v>2.52</v>
      </c>
      <c r="G1171" s="83" t="s">
        <v>885</v>
      </c>
      <c r="H1171" s="83" t="s">
        <v>1991</v>
      </c>
      <c r="I1171" s="88">
        <f>Planejamento2024[[#This Row],[Qnt de Itens]]*Planejamento2024[[#This Row],[Valor unitário]]</f>
        <v>312984</v>
      </c>
      <c r="J1171" s="83" t="s">
        <v>38</v>
      </c>
      <c r="K1171" s="83" t="s">
        <v>415</v>
      </c>
      <c r="L1171" s="86">
        <v>45505</v>
      </c>
      <c r="M1171" s="83" t="s">
        <v>38</v>
      </c>
      <c r="N1171" s="87" t="s">
        <v>2010</v>
      </c>
      <c r="O1171" s="83" t="s">
        <v>827</v>
      </c>
    </row>
    <row r="1172" spans="1:15" ht="27">
      <c r="A1172" s="81">
        <f t="shared" si="18"/>
        <v>1171</v>
      </c>
      <c r="B1172" s="82" t="s">
        <v>2028</v>
      </c>
      <c r="C1172" s="83" t="s">
        <v>34</v>
      </c>
      <c r="D1172" s="83" t="s">
        <v>35</v>
      </c>
      <c r="E1172" s="84">
        <v>124200</v>
      </c>
      <c r="F1172" s="88">
        <v>3.79</v>
      </c>
      <c r="G1172" s="83" t="s">
        <v>885</v>
      </c>
      <c r="H1172" s="83" t="s">
        <v>1991</v>
      </c>
      <c r="I1172" s="88">
        <f>Planejamento2024[[#This Row],[Qnt de Itens]]*Planejamento2024[[#This Row],[Valor unitário]]</f>
        <v>470718</v>
      </c>
      <c r="J1172" s="83" t="s">
        <v>38</v>
      </c>
      <c r="K1172" s="83" t="s">
        <v>415</v>
      </c>
      <c r="L1172" s="86">
        <v>45505</v>
      </c>
      <c r="M1172" s="83" t="s">
        <v>38</v>
      </c>
      <c r="N1172" s="87" t="s">
        <v>2010</v>
      </c>
      <c r="O1172" s="83" t="s">
        <v>827</v>
      </c>
    </row>
    <row r="1173" spans="1:15" ht="27">
      <c r="A1173" s="81">
        <f t="shared" si="18"/>
        <v>1172</v>
      </c>
      <c r="B1173" s="82" t="s">
        <v>2029</v>
      </c>
      <c r="C1173" s="83" t="s">
        <v>25</v>
      </c>
      <c r="D1173" s="83" t="s">
        <v>17</v>
      </c>
      <c r="E1173" s="84">
        <v>81200</v>
      </c>
      <c r="F1173" s="88">
        <v>2.73</v>
      </c>
      <c r="G1173" s="83" t="s">
        <v>885</v>
      </c>
      <c r="H1173" s="83" t="s">
        <v>1991</v>
      </c>
      <c r="I1173" s="88">
        <f>Planejamento2024[[#This Row],[Qnt de Itens]]*Planejamento2024[[#This Row],[Valor unitário]]</f>
        <v>221676</v>
      </c>
      <c r="J1173" s="83" t="s">
        <v>38</v>
      </c>
      <c r="K1173" s="83" t="s">
        <v>415</v>
      </c>
      <c r="L1173" s="86">
        <v>45505</v>
      </c>
      <c r="M1173" s="83" t="s">
        <v>38</v>
      </c>
      <c r="N1173" s="87" t="s">
        <v>2010</v>
      </c>
      <c r="O1173" s="83" t="s">
        <v>827</v>
      </c>
    </row>
    <row r="1174" spans="1:15" ht="27">
      <c r="A1174" s="81">
        <f t="shared" si="18"/>
        <v>1173</v>
      </c>
      <c r="B1174" s="82" t="s">
        <v>2029</v>
      </c>
      <c r="C1174" s="83" t="s">
        <v>34</v>
      </c>
      <c r="D1174" s="83" t="s">
        <v>35</v>
      </c>
      <c r="E1174" s="84">
        <v>81200</v>
      </c>
      <c r="F1174" s="88">
        <v>4.1100000000000003</v>
      </c>
      <c r="G1174" s="83" t="s">
        <v>885</v>
      </c>
      <c r="H1174" s="83" t="s">
        <v>1991</v>
      </c>
      <c r="I1174" s="88">
        <f>Planejamento2024[[#This Row],[Qnt de Itens]]*Planejamento2024[[#This Row],[Valor unitário]]</f>
        <v>333732</v>
      </c>
      <c r="J1174" s="83" t="s">
        <v>38</v>
      </c>
      <c r="K1174" s="83" t="s">
        <v>415</v>
      </c>
      <c r="L1174" s="86">
        <v>45505</v>
      </c>
      <c r="M1174" s="83" t="s">
        <v>38</v>
      </c>
      <c r="N1174" s="87" t="s">
        <v>2010</v>
      </c>
      <c r="O1174" s="83" t="s">
        <v>827</v>
      </c>
    </row>
    <row r="1175" spans="1:15" ht="27">
      <c r="A1175" s="81">
        <f t="shared" si="18"/>
        <v>1174</v>
      </c>
      <c r="B1175" s="82" t="s">
        <v>2030</v>
      </c>
      <c r="C1175" s="83" t="s">
        <v>25</v>
      </c>
      <c r="D1175" s="83" t="s">
        <v>17</v>
      </c>
      <c r="E1175" s="84">
        <v>82000</v>
      </c>
      <c r="F1175" s="88">
        <v>3.59</v>
      </c>
      <c r="G1175" s="83" t="s">
        <v>885</v>
      </c>
      <c r="H1175" s="83" t="s">
        <v>1991</v>
      </c>
      <c r="I1175" s="88">
        <f>Planejamento2024[[#This Row],[Qnt de Itens]]*Planejamento2024[[#This Row],[Valor unitário]]</f>
        <v>294380</v>
      </c>
      <c r="J1175" s="83" t="s">
        <v>38</v>
      </c>
      <c r="K1175" s="83" t="s">
        <v>415</v>
      </c>
      <c r="L1175" s="86">
        <v>45505</v>
      </c>
      <c r="M1175" s="83" t="s">
        <v>38</v>
      </c>
      <c r="N1175" s="87" t="s">
        <v>2010</v>
      </c>
      <c r="O1175" s="83" t="s">
        <v>827</v>
      </c>
    </row>
    <row r="1176" spans="1:15" ht="27">
      <c r="A1176" s="81">
        <f t="shared" si="18"/>
        <v>1175</v>
      </c>
      <c r="B1176" s="82" t="s">
        <v>2030</v>
      </c>
      <c r="C1176" s="83" t="s">
        <v>34</v>
      </c>
      <c r="D1176" s="83" t="s">
        <v>35</v>
      </c>
      <c r="E1176" s="84">
        <v>82000</v>
      </c>
      <c r="F1176" s="88">
        <v>5.39</v>
      </c>
      <c r="G1176" s="83" t="s">
        <v>885</v>
      </c>
      <c r="H1176" s="83" t="s">
        <v>1991</v>
      </c>
      <c r="I1176" s="88">
        <f>Planejamento2024[[#This Row],[Qnt de Itens]]*Planejamento2024[[#This Row],[Valor unitário]]</f>
        <v>441980</v>
      </c>
      <c r="J1176" s="83" t="s">
        <v>38</v>
      </c>
      <c r="K1176" s="83" t="s">
        <v>415</v>
      </c>
      <c r="L1176" s="86">
        <v>45505</v>
      </c>
      <c r="M1176" s="83" t="s">
        <v>38</v>
      </c>
      <c r="N1176" s="87" t="s">
        <v>2010</v>
      </c>
      <c r="O1176" s="83" t="s">
        <v>827</v>
      </c>
    </row>
    <row r="1177" spans="1:15" ht="27">
      <c r="A1177" s="81">
        <f t="shared" si="18"/>
        <v>1176</v>
      </c>
      <c r="B1177" s="82" t="s">
        <v>2031</v>
      </c>
      <c r="C1177" s="83" t="s">
        <v>25</v>
      </c>
      <c r="D1177" s="83" t="s">
        <v>17</v>
      </c>
      <c r="E1177" s="84">
        <v>245600</v>
      </c>
      <c r="F1177" s="88">
        <v>3.45</v>
      </c>
      <c r="G1177" s="83" t="s">
        <v>885</v>
      </c>
      <c r="H1177" s="83" t="s">
        <v>1991</v>
      </c>
      <c r="I1177" s="88">
        <f>Planejamento2024[[#This Row],[Qnt de Itens]]*Planejamento2024[[#This Row],[Valor unitário]]</f>
        <v>847320</v>
      </c>
      <c r="J1177" s="83" t="s">
        <v>38</v>
      </c>
      <c r="K1177" s="83" t="s">
        <v>415</v>
      </c>
      <c r="L1177" s="86">
        <v>45505</v>
      </c>
      <c r="M1177" s="83" t="s">
        <v>38</v>
      </c>
      <c r="N1177" s="87" t="s">
        <v>2010</v>
      </c>
      <c r="O1177" s="83" t="s">
        <v>827</v>
      </c>
    </row>
    <row r="1178" spans="1:15" ht="27">
      <c r="A1178" s="81">
        <f t="shared" si="18"/>
        <v>1177</v>
      </c>
      <c r="B1178" s="82" t="s">
        <v>2031</v>
      </c>
      <c r="C1178" s="83" t="s">
        <v>34</v>
      </c>
      <c r="D1178" s="83" t="s">
        <v>35</v>
      </c>
      <c r="E1178" s="84">
        <v>245600</v>
      </c>
      <c r="F1178" s="88">
        <v>5.18</v>
      </c>
      <c r="G1178" s="83" t="s">
        <v>885</v>
      </c>
      <c r="H1178" s="83" t="s">
        <v>1991</v>
      </c>
      <c r="I1178" s="88">
        <f>Planejamento2024[[#This Row],[Qnt de Itens]]*Planejamento2024[[#This Row],[Valor unitário]]</f>
        <v>1272208</v>
      </c>
      <c r="J1178" s="83" t="s">
        <v>38</v>
      </c>
      <c r="K1178" s="83" t="s">
        <v>415</v>
      </c>
      <c r="L1178" s="86">
        <v>45505</v>
      </c>
      <c r="M1178" s="83" t="s">
        <v>38</v>
      </c>
      <c r="N1178" s="87" t="s">
        <v>2010</v>
      </c>
      <c r="O1178" s="83" t="s">
        <v>827</v>
      </c>
    </row>
    <row r="1179" spans="1:15" ht="27">
      <c r="A1179" s="81">
        <f t="shared" si="18"/>
        <v>1178</v>
      </c>
      <c r="B1179" s="82" t="s">
        <v>2032</v>
      </c>
      <c r="C1179" s="83" t="s">
        <v>25</v>
      </c>
      <c r="D1179" s="83" t="s">
        <v>17</v>
      </c>
      <c r="E1179" s="84">
        <v>36800</v>
      </c>
      <c r="F1179" s="88">
        <v>4.78</v>
      </c>
      <c r="G1179" s="83" t="s">
        <v>885</v>
      </c>
      <c r="H1179" s="83" t="s">
        <v>1991</v>
      </c>
      <c r="I1179" s="88">
        <f>Planejamento2024[[#This Row],[Qnt de Itens]]*Planejamento2024[[#This Row],[Valor unitário]]</f>
        <v>175904</v>
      </c>
      <c r="J1179" s="83" t="s">
        <v>38</v>
      </c>
      <c r="K1179" s="83" t="s">
        <v>415</v>
      </c>
      <c r="L1179" s="86">
        <v>45505</v>
      </c>
      <c r="M1179" s="83" t="s">
        <v>38</v>
      </c>
      <c r="N1179" s="87" t="s">
        <v>2010</v>
      </c>
      <c r="O1179" s="83" t="s">
        <v>827</v>
      </c>
    </row>
    <row r="1180" spans="1:15" ht="27">
      <c r="A1180" s="81">
        <f t="shared" si="18"/>
        <v>1179</v>
      </c>
      <c r="B1180" s="82" t="s">
        <v>2032</v>
      </c>
      <c r="C1180" s="83" t="s">
        <v>34</v>
      </c>
      <c r="D1180" s="83" t="s">
        <v>35</v>
      </c>
      <c r="E1180" s="84">
        <v>36800</v>
      </c>
      <c r="F1180" s="88">
        <v>7.18</v>
      </c>
      <c r="G1180" s="83" t="s">
        <v>885</v>
      </c>
      <c r="H1180" s="83" t="s">
        <v>1991</v>
      </c>
      <c r="I1180" s="88">
        <f>Planejamento2024[[#This Row],[Qnt de Itens]]*Planejamento2024[[#This Row],[Valor unitário]]</f>
        <v>264224</v>
      </c>
      <c r="J1180" s="83" t="s">
        <v>38</v>
      </c>
      <c r="K1180" s="83" t="s">
        <v>415</v>
      </c>
      <c r="L1180" s="86">
        <v>45505</v>
      </c>
      <c r="M1180" s="83" t="s">
        <v>38</v>
      </c>
      <c r="N1180" s="87" t="s">
        <v>2010</v>
      </c>
      <c r="O1180" s="83" t="s">
        <v>827</v>
      </c>
    </row>
    <row r="1181" spans="1:15" ht="27">
      <c r="A1181" s="81">
        <f t="shared" si="18"/>
        <v>1180</v>
      </c>
      <c r="B1181" s="82" t="s">
        <v>2033</v>
      </c>
      <c r="C1181" s="83" t="s">
        <v>25</v>
      </c>
      <c r="D1181" s="83" t="s">
        <v>17</v>
      </c>
      <c r="E1181" s="84">
        <v>26400</v>
      </c>
      <c r="F1181" s="88">
        <v>4.62</v>
      </c>
      <c r="G1181" s="83" t="s">
        <v>885</v>
      </c>
      <c r="H1181" s="83" t="s">
        <v>1991</v>
      </c>
      <c r="I1181" s="88">
        <f>Planejamento2024[[#This Row],[Qnt de Itens]]*Planejamento2024[[#This Row],[Valor unitário]]</f>
        <v>121968</v>
      </c>
      <c r="J1181" s="83" t="s">
        <v>38</v>
      </c>
      <c r="K1181" s="83" t="s">
        <v>415</v>
      </c>
      <c r="L1181" s="86">
        <v>45505</v>
      </c>
      <c r="M1181" s="83" t="s">
        <v>38</v>
      </c>
      <c r="N1181" s="87" t="s">
        <v>2010</v>
      </c>
      <c r="O1181" s="83" t="s">
        <v>827</v>
      </c>
    </row>
    <row r="1182" spans="1:15" ht="27">
      <c r="A1182" s="81">
        <f t="shared" si="18"/>
        <v>1181</v>
      </c>
      <c r="B1182" s="82" t="s">
        <v>2033</v>
      </c>
      <c r="C1182" s="83" t="s">
        <v>34</v>
      </c>
      <c r="D1182" s="83" t="s">
        <v>35</v>
      </c>
      <c r="E1182" s="84">
        <v>26400</v>
      </c>
      <c r="F1182" s="88">
        <v>6.93</v>
      </c>
      <c r="G1182" s="83" t="s">
        <v>885</v>
      </c>
      <c r="H1182" s="83" t="s">
        <v>1991</v>
      </c>
      <c r="I1182" s="88">
        <f>Planejamento2024[[#This Row],[Qnt de Itens]]*Planejamento2024[[#This Row],[Valor unitário]]</f>
        <v>182952</v>
      </c>
      <c r="J1182" s="83" t="s">
        <v>38</v>
      </c>
      <c r="K1182" s="83" t="s">
        <v>415</v>
      </c>
      <c r="L1182" s="86">
        <v>45505</v>
      </c>
      <c r="M1182" s="83" t="s">
        <v>38</v>
      </c>
      <c r="N1182" s="87" t="s">
        <v>2010</v>
      </c>
      <c r="O1182" s="83" t="s">
        <v>827</v>
      </c>
    </row>
    <row r="1183" spans="1:15" ht="27">
      <c r="A1183" s="81">
        <f t="shared" si="18"/>
        <v>1182</v>
      </c>
      <c r="B1183" s="82" t="s">
        <v>2034</v>
      </c>
      <c r="C1183" s="83" t="s">
        <v>25</v>
      </c>
      <c r="D1183" s="83" t="s">
        <v>17</v>
      </c>
      <c r="E1183" s="84">
        <v>8279</v>
      </c>
      <c r="F1183" s="88">
        <v>7.86</v>
      </c>
      <c r="G1183" s="83" t="s">
        <v>885</v>
      </c>
      <c r="H1183" s="83" t="s">
        <v>1991</v>
      </c>
      <c r="I1183" s="88">
        <f>Planejamento2024[[#This Row],[Qnt de Itens]]*Planejamento2024[[#This Row],[Valor unitário]]</f>
        <v>65072.94</v>
      </c>
      <c r="J1183" s="83" t="s">
        <v>38</v>
      </c>
      <c r="K1183" s="83" t="s">
        <v>415</v>
      </c>
      <c r="L1183" s="86">
        <v>45505</v>
      </c>
      <c r="M1183" s="83" t="s">
        <v>38</v>
      </c>
      <c r="N1183" s="87" t="s">
        <v>2010</v>
      </c>
      <c r="O1183" s="83" t="s">
        <v>827</v>
      </c>
    </row>
    <row r="1184" spans="1:15" ht="27">
      <c r="A1184" s="81">
        <f t="shared" si="18"/>
        <v>1183</v>
      </c>
      <c r="B1184" s="82" t="s">
        <v>2034</v>
      </c>
      <c r="C1184" s="83" t="s">
        <v>34</v>
      </c>
      <c r="D1184" s="83" t="s">
        <v>35</v>
      </c>
      <c r="E1184" s="84">
        <v>8279</v>
      </c>
      <c r="F1184" s="88">
        <v>11.8</v>
      </c>
      <c r="G1184" s="83" t="s">
        <v>885</v>
      </c>
      <c r="H1184" s="83" t="s">
        <v>1991</v>
      </c>
      <c r="I1184" s="88">
        <f>Planejamento2024[[#This Row],[Qnt de Itens]]*Planejamento2024[[#This Row],[Valor unitário]]</f>
        <v>97692.200000000012</v>
      </c>
      <c r="J1184" s="83" t="s">
        <v>38</v>
      </c>
      <c r="K1184" s="83" t="s">
        <v>415</v>
      </c>
      <c r="L1184" s="86">
        <v>45505</v>
      </c>
      <c r="M1184" s="83" t="s">
        <v>38</v>
      </c>
      <c r="N1184" s="87" t="s">
        <v>2010</v>
      </c>
      <c r="O1184" s="83" t="s">
        <v>827</v>
      </c>
    </row>
    <row r="1185" spans="1:15" ht="27">
      <c r="A1185" s="81">
        <f t="shared" si="18"/>
        <v>1184</v>
      </c>
      <c r="B1185" s="82" t="s">
        <v>2035</v>
      </c>
      <c r="C1185" s="83" t="s">
        <v>25</v>
      </c>
      <c r="D1185" s="83" t="s">
        <v>17</v>
      </c>
      <c r="E1185" s="84">
        <v>14400</v>
      </c>
      <c r="F1185" s="88">
        <v>3.61</v>
      </c>
      <c r="G1185" s="83" t="s">
        <v>885</v>
      </c>
      <c r="H1185" s="83" t="s">
        <v>1991</v>
      </c>
      <c r="I1185" s="88">
        <f>Planejamento2024[[#This Row],[Qnt de Itens]]*Planejamento2024[[#This Row],[Valor unitário]]</f>
        <v>51984</v>
      </c>
      <c r="J1185" s="83" t="s">
        <v>38</v>
      </c>
      <c r="K1185" s="83" t="s">
        <v>415</v>
      </c>
      <c r="L1185" s="86">
        <v>45505</v>
      </c>
      <c r="M1185" s="83" t="s">
        <v>38</v>
      </c>
      <c r="N1185" s="87" t="s">
        <v>2010</v>
      </c>
      <c r="O1185" s="83" t="s">
        <v>827</v>
      </c>
    </row>
    <row r="1186" spans="1:15" ht="45">
      <c r="A1186" s="81">
        <f t="shared" si="18"/>
        <v>1185</v>
      </c>
      <c r="B1186" s="82" t="s">
        <v>2036</v>
      </c>
      <c r="C1186" s="83" t="s">
        <v>34</v>
      </c>
      <c r="D1186" s="83" t="s">
        <v>35</v>
      </c>
      <c r="E1186" s="84">
        <v>8279</v>
      </c>
      <c r="F1186" s="88">
        <v>5.83</v>
      </c>
      <c r="G1186" s="83" t="s">
        <v>885</v>
      </c>
      <c r="H1186" s="83" t="s">
        <v>1991</v>
      </c>
      <c r="I1186" s="88">
        <f>Planejamento2024[[#This Row],[Qnt de Itens]]*Planejamento2024[[#This Row],[Valor unitário]]</f>
        <v>48266.57</v>
      </c>
      <c r="J1186" s="83" t="s">
        <v>38</v>
      </c>
      <c r="K1186" s="83" t="s">
        <v>415</v>
      </c>
      <c r="L1186" s="86">
        <v>45505</v>
      </c>
      <c r="M1186" s="83" t="s">
        <v>38</v>
      </c>
      <c r="N1186" s="87" t="s">
        <v>2010</v>
      </c>
      <c r="O1186" s="83" t="s">
        <v>827</v>
      </c>
    </row>
    <row r="1187" spans="1:15" ht="27">
      <c r="A1187" s="81">
        <f t="shared" si="18"/>
        <v>1186</v>
      </c>
      <c r="B1187" s="82" t="s">
        <v>2037</v>
      </c>
      <c r="C1187" s="83" t="s">
        <v>34</v>
      </c>
      <c r="D1187" s="83" t="s">
        <v>168</v>
      </c>
      <c r="E1187" s="84"/>
      <c r="F1187" s="85"/>
      <c r="G1187" s="83"/>
      <c r="H1187" s="83" t="s">
        <v>2038</v>
      </c>
      <c r="I1187" s="85">
        <f>Planejamento2024[[#This Row],[Qnt de Itens]]*Planejamento2024[[#This Row],[Valor unitário]]</f>
        <v>0</v>
      </c>
      <c r="J1187" s="83" t="s">
        <v>20</v>
      </c>
      <c r="K1187" s="83" t="s">
        <v>415</v>
      </c>
      <c r="L1187" s="86">
        <v>45292</v>
      </c>
      <c r="M1187" s="83" t="s">
        <v>20</v>
      </c>
      <c r="N1187" s="87"/>
      <c r="O1187" s="83" t="s">
        <v>827</v>
      </c>
    </row>
    <row r="1188" spans="1:15" ht="54">
      <c r="A1188" s="81">
        <f t="shared" si="18"/>
        <v>1187</v>
      </c>
      <c r="B1188" s="82" t="s">
        <v>2039</v>
      </c>
      <c r="C1188" s="83" t="s">
        <v>25</v>
      </c>
      <c r="D1188" s="83" t="s">
        <v>17</v>
      </c>
      <c r="E1188" s="84">
        <f>320+7032</f>
        <v>7352</v>
      </c>
      <c r="F1188" s="85">
        <v>14.75</v>
      </c>
      <c r="G1188" s="83" t="s">
        <v>885</v>
      </c>
      <c r="H1188" s="83" t="s">
        <v>389</v>
      </c>
      <c r="I1188" s="85">
        <f>Planejamento2024[[#This Row],[Qnt de Itens]]*Planejamento2024[[#This Row],[Valor unitário]]</f>
        <v>108442</v>
      </c>
      <c r="J1188" s="83" t="s">
        <v>20</v>
      </c>
      <c r="K1188" s="83" t="s">
        <v>415</v>
      </c>
      <c r="L1188" s="86">
        <v>45292</v>
      </c>
      <c r="M1188" s="83" t="s">
        <v>38</v>
      </c>
      <c r="N1188" s="87" t="s">
        <v>2040</v>
      </c>
      <c r="O1188" s="83" t="s">
        <v>827</v>
      </c>
    </row>
    <row r="1189" spans="1:15" ht="72">
      <c r="A1189" s="81">
        <f t="shared" si="18"/>
        <v>1188</v>
      </c>
      <c r="B1189" s="82" t="s">
        <v>2041</v>
      </c>
      <c r="C1189" s="83" t="s">
        <v>25</v>
      </c>
      <c r="D1189" s="83" t="s">
        <v>17</v>
      </c>
      <c r="E1189" s="84">
        <f>540+20</f>
        <v>560</v>
      </c>
      <c r="F1189" s="85">
        <v>107.8</v>
      </c>
      <c r="G1189" s="83" t="s">
        <v>885</v>
      </c>
      <c r="H1189" s="83" t="s">
        <v>389</v>
      </c>
      <c r="I1189" s="85">
        <f>Planejamento2024[[#This Row],[Qnt de Itens]]*Planejamento2024[[#This Row],[Valor unitário]]</f>
        <v>60368</v>
      </c>
      <c r="J1189" s="83" t="s">
        <v>20</v>
      </c>
      <c r="K1189" s="83" t="s">
        <v>415</v>
      </c>
      <c r="L1189" s="86">
        <v>45292</v>
      </c>
      <c r="M1189" s="83" t="s">
        <v>38</v>
      </c>
      <c r="N1189" s="87" t="s">
        <v>2040</v>
      </c>
      <c r="O1189" s="83" t="s">
        <v>827</v>
      </c>
    </row>
    <row r="1190" spans="1:15" ht="54">
      <c r="A1190" s="81">
        <f t="shared" si="18"/>
        <v>1189</v>
      </c>
      <c r="B1190" s="82" t="s">
        <v>2042</v>
      </c>
      <c r="C1190" s="83" t="s">
        <v>25</v>
      </c>
      <c r="D1190" s="83" t="s">
        <v>17</v>
      </c>
      <c r="E1190" s="84">
        <f>20+456</f>
        <v>476</v>
      </c>
      <c r="F1190" s="85">
        <v>118.3</v>
      </c>
      <c r="G1190" s="83" t="s">
        <v>885</v>
      </c>
      <c r="H1190" s="83" t="s">
        <v>389</v>
      </c>
      <c r="I1190" s="85">
        <f>Planejamento2024[[#This Row],[Qnt de Itens]]*Planejamento2024[[#This Row],[Valor unitário]]</f>
        <v>56310.799999999996</v>
      </c>
      <c r="J1190" s="83" t="s">
        <v>20</v>
      </c>
      <c r="K1190" s="83" t="s">
        <v>415</v>
      </c>
      <c r="L1190" s="86">
        <v>45292</v>
      </c>
      <c r="M1190" s="83" t="s">
        <v>38</v>
      </c>
      <c r="N1190" s="87" t="s">
        <v>2040</v>
      </c>
      <c r="O1190" s="83" t="s">
        <v>827</v>
      </c>
    </row>
    <row r="1191" spans="1:15" ht="54">
      <c r="A1191" s="81">
        <f t="shared" si="18"/>
        <v>1190</v>
      </c>
      <c r="B1191" s="82" t="s">
        <v>2043</v>
      </c>
      <c r="C1191" s="83" t="s">
        <v>25</v>
      </c>
      <c r="D1191" s="83" t="s">
        <v>17</v>
      </c>
      <c r="E1191" s="84">
        <v>84</v>
      </c>
      <c r="F1191" s="85">
        <v>95.19</v>
      </c>
      <c r="G1191" s="83" t="s">
        <v>885</v>
      </c>
      <c r="H1191" s="83" t="s">
        <v>389</v>
      </c>
      <c r="I1191" s="85">
        <f>Planejamento2024[[#This Row],[Qnt de Itens]]*Planejamento2024[[#This Row],[Valor unitário]]</f>
        <v>7995.96</v>
      </c>
      <c r="J1191" s="83" t="s">
        <v>20</v>
      </c>
      <c r="K1191" s="83" t="s">
        <v>415</v>
      </c>
      <c r="L1191" s="86">
        <v>45292</v>
      </c>
      <c r="M1191" s="83" t="s">
        <v>38</v>
      </c>
      <c r="N1191" s="87" t="s">
        <v>2040</v>
      </c>
      <c r="O1191" s="83" t="s">
        <v>827</v>
      </c>
    </row>
    <row r="1192" spans="1:15" ht="54">
      <c r="A1192" s="81">
        <f t="shared" si="18"/>
        <v>1191</v>
      </c>
      <c r="B1192" s="82" t="s">
        <v>2044</v>
      </c>
      <c r="C1192" s="83" t="s">
        <v>25</v>
      </c>
      <c r="D1192" s="83" t="s">
        <v>17</v>
      </c>
      <c r="E1192" s="84">
        <f>20+528</f>
        <v>548</v>
      </c>
      <c r="F1192" s="85">
        <v>52.15</v>
      </c>
      <c r="G1192" s="83" t="s">
        <v>885</v>
      </c>
      <c r="H1192" s="83" t="s">
        <v>389</v>
      </c>
      <c r="I1192" s="85">
        <f>Planejamento2024[[#This Row],[Qnt de Itens]]*Planejamento2024[[#This Row],[Valor unitário]]</f>
        <v>28578.2</v>
      </c>
      <c r="J1192" s="83" t="s">
        <v>20</v>
      </c>
      <c r="K1192" s="83" t="s">
        <v>415</v>
      </c>
      <c r="L1192" s="86">
        <v>45292</v>
      </c>
      <c r="M1192" s="83" t="s">
        <v>38</v>
      </c>
      <c r="N1192" s="87" t="s">
        <v>2040</v>
      </c>
      <c r="O1192" s="83" t="s">
        <v>827</v>
      </c>
    </row>
    <row r="1193" spans="1:15" ht="45">
      <c r="A1193" s="81">
        <f t="shared" si="18"/>
        <v>1192</v>
      </c>
      <c r="B1193" s="82" t="s">
        <v>2045</v>
      </c>
      <c r="C1193" s="83" t="s">
        <v>25</v>
      </c>
      <c r="D1193" s="83" t="s">
        <v>17</v>
      </c>
      <c r="E1193" s="84">
        <f>6768</f>
        <v>6768</v>
      </c>
      <c r="F1193" s="85">
        <v>8.4</v>
      </c>
      <c r="G1193" s="83" t="s">
        <v>885</v>
      </c>
      <c r="H1193" s="83" t="s">
        <v>389</v>
      </c>
      <c r="I1193" s="85">
        <f>Planejamento2024[[#This Row],[Qnt de Itens]]*Planejamento2024[[#This Row],[Valor unitário]]</f>
        <v>56851.200000000004</v>
      </c>
      <c r="J1193" s="83" t="s">
        <v>20</v>
      </c>
      <c r="K1193" s="83" t="s">
        <v>415</v>
      </c>
      <c r="L1193" s="86">
        <v>45292</v>
      </c>
      <c r="M1193" s="83" t="s">
        <v>38</v>
      </c>
      <c r="N1193" s="87" t="s">
        <v>2040</v>
      </c>
      <c r="O1193" s="83" t="s">
        <v>827</v>
      </c>
    </row>
    <row r="1194" spans="1:15" ht="54">
      <c r="A1194" s="81">
        <f t="shared" si="18"/>
        <v>1193</v>
      </c>
      <c r="B1194" s="82" t="s">
        <v>2046</v>
      </c>
      <c r="C1194" s="83" t="s">
        <v>25</v>
      </c>
      <c r="D1194" s="83" t="s">
        <v>17</v>
      </c>
      <c r="E1194" s="84">
        <f>320+1104</f>
        <v>1424</v>
      </c>
      <c r="F1194" s="85">
        <v>27.26</v>
      </c>
      <c r="G1194" s="83" t="s">
        <v>885</v>
      </c>
      <c r="H1194" s="83" t="s">
        <v>389</v>
      </c>
      <c r="I1194" s="85">
        <f>Planejamento2024[[#This Row],[Qnt de Itens]]*Planejamento2024[[#This Row],[Valor unitário]]</f>
        <v>38818.240000000005</v>
      </c>
      <c r="J1194" s="83" t="s">
        <v>20</v>
      </c>
      <c r="K1194" s="83" t="s">
        <v>415</v>
      </c>
      <c r="L1194" s="86">
        <v>45292</v>
      </c>
      <c r="M1194" s="83" t="s">
        <v>38</v>
      </c>
      <c r="N1194" s="87" t="s">
        <v>2040</v>
      </c>
      <c r="O1194" s="83" t="s">
        <v>827</v>
      </c>
    </row>
    <row r="1195" spans="1:15" ht="54">
      <c r="A1195" s="81">
        <f t="shared" si="18"/>
        <v>1194</v>
      </c>
      <c r="B1195" s="82" t="s">
        <v>2047</v>
      </c>
      <c r="C1195" s="83" t="s">
        <v>25</v>
      </c>
      <c r="D1195" s="83" t="s">
        <v>17</v>
      </c>
      <c r="E1195" s="84">
        <f>20+540</f>
        <v>560</v>
      </c>
      <c r="F1195" s="85">
        <v>69.3</v>
      </c>
      <c r="G1195" s="83" t="s">
        <v>885</v>
      </c>
      <c r="H1195" s="83" t="s">
        <v>389</v>
      </c>
      <c r="I1195" s="85">
        <f>Planejamento2024[[#This Row],[Qnt de Itens]]*Planejamento2024[[#This Row],[Valor unitário]]</f>
        <v>38808</v>
      </c>
      <c r="J1195" s="83" t="s">
        <v>20</v>
      </c>
      <c r="K1195" s="83" t="s">
        <v>415</v>
      </c>
      <c r="L1195" s="86">
        <v>45292</v>
      </c>
      <c r="M1195" s="83" t="s">
        <v>38</v>
      </c>
      <c r="N1195" s="87" t="s">
        <v>2040</v>
      </c>
      <c r="O1195" s="83" t="s">
        <v>827</v>
      </c>
    </row>
    <row r="1196" spans="1:15" ht="63">
      <c r="A1196" s="81">
        <f t="shared" si="18"/>
        <v>1195</v>
      </c>
      <c r="B1196" s="82" t="s">
        <v>2048</v>
      </c>
      <c r="C1196" s="83" t="s">
        <v>25</v>
      </c>
      <c r="D1196" s="83" t="s">
        <v>17</v>
      </c>
      <c r="E1196" s="84">
        <f>504+20</f>
        <v>524</v>
      </c>
      <c r="F1196" s="85">
        <v>231</v>
      </c>
      <c r="G1196" s="83" t="s">
        <v>885</v>
      </c>
      <c r="H1196" s="83" t="s">
        <v>389</v>
      </c>
      <c r="I1196" s="85">
        <f>Planejamento2024[[#This Row],[Qnt de Itens]]*Planejamento2024[[#This Row],[Valor unitário]]</f>
        <v>121044</v>
      </c>
      <c r="J1196" s="83" t="s">
        <v>20</v>
      </c>
      <c r="K1196" s="83" t="s">
        <v>415</v>
      </c>
      <c r="L1196" s="86">
        <v>45292</v>
      </c>
      <c r="M1196" s="83" t="s">
        <v>38</v>
      </c>
      <c r="N1196" s="87" t="s">
        <v>2040</v>
      </c>
      <c r="O1196" s="83" t="s">
        <v>827</v>
      </c>
    </row>
    <row r="1197" spans="1:15" ht="54">
      <c r="A1197" s="81">
        <f t="shared" si="18"/>
        <v>1196</v>
      </c>
      <c r="B1197" s="82" t="s">
        <v>2049</v>
      </c>
      <c r="C1197" s="83" t="s">
        <v>25</v>
      </c>
      <c r="D1197" s="83" t="s">
        <v>17</v>
      </c>
      <c r="E1197" s="84">
        <f>20+540</f>
        <v>560</v>
      </c>
      <c r="F1197" s="85">
        <v>90.3</v>
      </c>
      <c r="G1197" s="83" t="s">
        <v>885</v>
      </c>
      <c r="H1197" s="83" t="s">
        <v>389</v>
      </c>
      <c r="I1197" s="85">
        <f>Planejamento2024[[#This Row],[Qnt de Itens]]*Planejamento2024[[#This Row],[Valor unitário]]</f>
        <v>50568</v>
      </c>
      <c r="J1197" s="83" t="s">
        <v>20</v>
      </c>
      <c r="K1197" s="83" t="s">
        <v>415</v>
      </c>
      <c r="L1197" s="86">
        <v>45292</v>
      </c>
      <c r="M1197" s="83" t="s">
        <v>38</v>
      </c>
      <c r="N1197" s="87" t="s">
        <v>2040</v>
      </c>
      <c r="O1197" s="83" t="s">
        <v>827</v>
      </c>
    </row>
    <row r="1198" spans="1:15" ht="63">
      <c r="A1198" s="81">
        <f t="shared" si="18"/>
        <v>1197</v>
      </c>
      <c r="B1198" s="82" t="s">
        <v>2050</v>
      </c>
      <c r="C1198" s="83" t="s">
        <v>25</v>
      </c>
      <c r="D1198" s="83" t="s">
        <v>17</v>
      </c>
      <c r="E1198" s="84">
        <f>20+540</f>
        <v>560</v>
      </c>
      <c r="F1198" s="85">
        <v>12.6</v>
      </c>
      <c r="G1198" s="83" t="s">
        <v>885</v>
      </c>
      <c r="H1198" s="83" t="s">
        <v>389</v>
      </c>
      <c r="I1198" s="85">
        <f>Planejamento2024[[#This Row],[Qnt de Itens]]*Planejamento2024[[#This Row],[Valor unitário]]</f>
        <v>7056</v>
      </c>
      <c r="J1198" s="83" t="s">
        <v>20</v>
      </c>
      <c r="K1198" s="83" t="s">
        <v>415</v>
      </c>
      <c r="L1198" s="86">
        <v>45292</v>
      </c>
      <c r="M1198" s="83" t="s">
        <v>38</v>
      </c>
      <c r="N1198" s="87" t="s">
        <v>2040</v>
      </c>
      <c r="O1198" s="83" t="s">
        <v>827</v>
      </c>
    </row>
    <row r="1199" spans="1:15" ht="45">
      <c r="A1199" s="81">
        <f t="shared" si="18"/>
        <v>1198</v>
      </c>
      <c r="B1199" s="82" t="s">
        <v>2051</v>
      </c>
      <c r="C1199" s="83" t="s">
        <v>25</v>
      </c>
      <c r="D1199" s="83" t="s">
        <v>17</v>
      </c>
      <c r="E1199" s="84">
        <v>1</v>
      </c>
      <c r="F1199" s="85">
        <v>6445572.7400000002</v>
      </c>
      <c r="G1199" s="83" t="s">
        <v>2052</v>
      </c>
      <c r="H1199" s="83" t="s">
        <v>2053</v>
      </c>
      <c r="I1199" s="85">
        <f>Planejamento2024[[#This Row],[Qnt de Itens]]*Planejamento2024[[#This Row],[Valor unitário]]</f>
        <v>6445572.7400000002</v>
      </c>
      <c r="J1199" s="83" t="s">
        <v>38</v>
      </c>
      <c r="K1199" s="83" t="s">
        <v>415</v>
      </c>
      <c r="L1199" s="86">
        <v>45292</v>
      </c>
      <c r="M1199" s="83" t="s">
        <v>38</v>
      </c>
      <c r="N1199" s="87" t="s">
        <v>2054</v>
      </c>
      <c r="O1199" s="83" t="s">
        <v>827</v>
      </c>
    </row>
    <row r="1200" spans="1:15" ht="54">
      <c r="A1200" s="81">
        <f t="shared" si="18"/>
        <v>1199</v>
      </c>
      <c r="B1200" s="82" t="s">
        <v>2055</v>
      </c>
      <c r="C1200" s="83" t="s">
        <v>25</v>
      </c>
      <c r="D1200" s="83" t="s">
        <v>17</v>
      </c>
      <c r="E1200" s="84">
        <v>1</v>
      </c>
      <c r="F1200" s="85">
        <v>4236676.2699999996</v>
      </c>
      <c r="G1200" s="83" t="s">
        <v>2052</v>
      </c>
      <c r="H1200" s="83" t="s">
        <v>2053</v>
      </c>
      <c r="I1200" s="85">
        <f>Planejamento2024[[#This Row],[Qnt de Itens]]*Planejamento2024[[#This Row],[Valor unitário]]</f>
        <v>4236676.2699999996</v>
      </c>
      <c r="J1200" s="83" t="s">
        <v>38</v>
      </c>
      <c r="K1200" s="83" t="s">
        <v>415</v>
      </c>
      <c r="L1200" s="86">
        <v>45292</v>
      </c>
      <c r="M1200" s="83" t="s">
        <v>38</v>
      </c>
      <c r="N1200" s="87" t="s">
        <v>2054</v>
      </c>
      <c r="O1200" s="83" t="s">
        <v>827</v>
      </c>
    </row>
    <row r="1201" spans="1:15" ht="54">
      <c r="A1201" s="81">
        <f t="shared" si="18"/>
        <v>1200</v>
      </c>
      <c r="B1201" s="82" t="s">
        <v>2056</v>
      </c>
      <c r="C1201" s="83" t="s">
        <v>25</v>
      </c>
      <c r="D1201" s="83" t="s">
        <v>17</v>
      </c>
      <c r="E1201" s="84">
        <v>1</v>
      </c>
      <c r="F1201" s="85">
        <v>1141698.53</v>
      </c>
      <c r="G1201" s="83" t="s">
        <v>2052</v>
      </c>
      <c r="H1201" s="83" t="s">
        <v>2053</v>
      </c>
      <c r="I1201" s="85">
        <f>Planejamento2024[[#This Row],[Qnt de Itens]]*Planejamento2024[[#This Row],[Valor unitário]]</f>
        <v>1141698.53</v>
      </c>
      <c r="J1201" s="83" t="s">
        <v>38</v>
      </c>
      <c r="K1201" s="83" t="s">
        <v>415</v>
      </c>
      <c r="L1201" s="86">
        <v>45292</v>
      </c>
      <c r="M1201" s="83" t="s">
        <v>38</v>
      </c>
      <c r="N1201" s="87" t="s">
        <v>2054</v>
      </c>
      <c r="O1201" s="83" t="s">
        <v>827</v>
      </c>
    </row>
    <row r="1202" spans="1:15" ht="54">
      <c r="A1202" s="81">
        <f t="shared" si="18"/>
        <v>1201</v>
      </c>
      <c r="B1202" s="82" t="s">
        <v>2057</v>
      </c>
      <c r="C1202" s="83" t="s">
        <v>25</v>
      </c>
      <c r="D1202" s="83" t="s">
        <v>17</v>
      </c>
      <c r="E1202" s="84">
        <v>1</v>
      </c>
      <c r="F1202" s="88">
        <v>373258.35</v>
      </c>
      <c r="G1202" s="83" t="s">
        <v>2052</v>
      </c>
      <c r="H1202" s="83" t="s">
        <v>2053</v>
      </c>
      <c r="I1202" s="85">
        <f>Planejamento2024[[#This Row],[Qnt de Itens]]*Planejamento2024[[#This Row],[Valor unitário]]</f>
        <v>373258.35</v>
      </c>
      <c r="J1202" s="83" t="s">
        <v>38</v>
      </c>
      <c r="K1202" s="83" t="s">
        <v>415</v>
      </c>
      <c r="L1202" s="86">
        <v>45292</v>
      </c>
      <c r="M1202" s="83" t="s">
        <v>38</v>
      </c>
      <c r="N1202" s="87" t="s">
        <v>2054</v>
      </c>
      <c r="O1202" s="83" t="s">
        <v>827</v>
      </c>
    </row>
    <row r="1203" spans="1:15" ht="18">
      <c r="A1203" s="81">
        <f t="shared" si="18"/>
        <v>1202</v>
      </c>
      <c r="B1203" s="82" t="s">
        <v>2058</v>
      </c>
      <c r="C1203" s="83" t="s">
        <v>34</v>
      </c>
      <c r="D1203" s="83" t="s">
        <v>35</v>
      </c>
      <c r="E1203" s="84">
        <v>1000</v>
      </c>
      <c r="F1203" s="85">
        <v>17</v>
      </c>
      <c r="G1203" s="83" t="s">
        <v>885</v>
      </c>
      <c r="H1203" s="83" t="s">
        <v>2059</v>
      </c>
      <c r="I1203" s="85">
        <f>Planejamento2024[[#This Row],[Qnt de Itens]]*Planejamento2024[[#This Row],[Valor unitário]]</f>
        <v>17000</v>
      </c>
      <c r="J1203" s="83" t="s">
        <v>20</v>
      </c>
      <c r="K1203" s="83" t="s">
        <v>415</v>
      </c>
      <c r="L1203" s="86">
        <v>45292</v>
      </c>
      <c r="M1203" s="83" t="s">
        <v>20</v>
      </c>
      <c r="N1203" s="87" t="s">
        <v>2060</v>
      </c>
      <c r="O1203" s="83" t="s">
        <v>827</v>
      </c>
    </row>
    <row r="1204" spans="1:15" ht="27">
      <c r="A1204" s="81">
        <f t="shared" si="18"/>
        <v>1203</v>
      </c>
      <c r="B1204" s="82" t="s">
        <v>2061</v>
      </c>
      <c r="C1204" s="83" t="s">
        <v>34</v>
      </c>
      <c r="D1204" s="83" t="s">
        <v>35</v>
      </c>
      <c r="E1204" s="84">
        <v>50</v>
      </c>
      <c r="F1204" s="85">
        <v>19.3</v>
      </c>
      <c r="G1204" s="83" t="s">
        <v>885</v>
      </c>
      <c r="H1204" s="83" t="s">
        <v>2059</v>
      </c>
      <c r="I1204" s="85">
        <f>Planejamento2024[[#This Row],[Qnt de Itens]]*Planejamento2024[[#This Row],[Valor unitário]]</f>
        <v>965</v>
      </c>
      <c r="J1204" s="83" t="s">
        <v>20</v>
      </c>
      <c r="K1204" s="83" t="s">
        <v>492</v>
      </c>
      <c r="L1204" s="86">
        <v>45292</v>
      </c>
      <c r="M1204" s="83" t="s">
        <v>20</v>
      </c>
      <c r="N1204" s="87" t="s">
        <v>2060</v>
      </c>
      <c r="O1204" s="83" t="s">
        <v>827</v>
      </c>
    </row>
    <row r="1205" spans="1:15" ht="36">
      <c r="A1205" s="81">
        <f t="shared" si="18"/>
        <v>1204</v>
      </c>
      <c r="B1205" s="82" t="s">
        <v>2062</v>
      </c>
      <c r="C1205" s="83" t="s">
        <v>34</v>
      </c>
      <c r="D1205" s="83" t="s">
        <v>168</v>
      </c>
      <c r="E1205" s="84">
        <v>51</v>
      </c>
      <c r="F1205" s="88"/>
      <c r="G1205" s="83" t="s">
        <v>885</v>
      </c>
      <c r="H1205" s="83" t="s">
        <v>2059</v>
      </c>
      <c r="I1205" s="85">
        <f>Planejamento2024[[#This Row],[Qnt de Itens]]*Planejamento2024[[#This Row],[Valor unitário]]</f>
        <v>0</v>
      </c>
      <c r="J1205" s="83" t="s">
        <v>20</v>
      </c>
      <c r="K1205" s="83" t="s">
        <v>415</v>
      </c>
      <c r="L1205" s="86">
        <v>45292</v>
      </c>
      <c r="M1205" s="83" t="s">
        <v>20</v>
      </c>
      <c r="N1205" s="87"/>
      <c r="O1205" s="83" t="s">
        <v>827</v>
      </c>
    </row>
    <row r="1206" spans="1:15" ht="18">
      <c r="A1206" s="81">
        <f t="shared" si="18"/>
        <v>1205</v>
      </c>
      <c r="B1206" s="82" t="s">
        <v>2063</v>
      </c>
      <c r="C1206" s="83" t="s">
        <v>34</v>
      </c>
      <c r="D1206" s="83" t="s">
        <v>35</v>
      </c>
      <c r="E1206" s="84">
        <v>55</v>
      </c>
      <c r="F1206" s="85">
        <v>42.49</v>
      </c>
      <c r="G1206" s="83" t="s">
        <v>510</v>
      </c>
      <c r="H1206" s="83" t="s">
        <v>2059</v>
      </c>
      <c r="I1206" s="85">
        <f>Planejamento2024[[#This Row],[Qnt de Itens]]*Planejamento2024[[#This Row],[Valor unitário]]</f>
        <v>2336.9500000000003</v>
      </c>
      <c r="J1206" s="83" t="s">
        <v>20</v>
      </c>
      <c r="K1206" s="83" t="s">
        <v>478</v>
      </c>
      <c r="L1206" s="86">
        <v>45292</v>
      </c>
      <c r="M1206" s="83" t="s">
        <v>20</v>
      </c>
      <c r="N1206" s="87" t="s">
        <v>2060</v>
      </c>
      <c r="O1206" s="83" t="s">
        <v>827</v>
      </c>
    </row>
    <row r="1207" spans="1:15" ht="18">
      <c r="A1207" s="81">
        <f t="shared" si="18"/>
        <v>1206</v>
      </c>
      <c r="B1207" s="82" t="s">
        <v>2064</v>
      </c>
      <c r="C1207" s="83" t="s">
        <v>34</v>
      </c>
      <c r="D1207" s="83" t="s">
        <v>168</v>
      </c>
      <c r="E1207" s="84">
        <v>51</v>
      </c>
      <c r="F1207" s="88"/>
      <c r="G1207" s="83" t="s">
        <v>885</v>
      </c>
      <c r="H1207" s="83" t="s">
        <v>2059</v>
      </c>
      <c r="I1207" s="85">
        <f>Planejamento2024[[#This Row],[Qnt de Itens]]*Planejamento2024[[#This Row],[Valor unitário]]</f>
        <v>0</v>
      </c>
      <c r="J1207" s="83" t="s">
        <v>20</v>
      </c>
      <c r="K1207" s="83" t="s">
        <v>478</v>
      </c>
      <c r="L1207" s="86">
        <v>45292</v>
      </c>
      <c r="M1207" s="83" t="s">
        <v>20</v>
      </c>
      <c r="N1207" s="87"/>
      <c r="O1207" s="83" t="s">
        <v>827</v>
      </c>
    </row>
    <row r="1208" spans="1:15" ht="18">
      <c r="A1208" s="81">
        <f t="shared" si="18"/>
        <v>1207</v>
      </c>
      <c r="B1208" s="82" t="s">
        <v>2065</v>
      </c>
      <c r="C1208" s="83" t="s">
        <v>34</v>
      </c>
      <c r="D1208" s="83" t="s">
        <v>168</v>
      </c>
      <c r="E1208" s="84">
        <v>50</v>
      </c>
      <c r="F1208" s="88"/>
      <c r="G1208" s="83" t="s">
        <v>885</v>
      </c>
      <c r="H1208" s="83" t="s">
        <v>2059</v>
      </c>
      <c r="I1208" s="85">
        <f>Planejamento2024[[#This Row],[Qnt de Itens]]*Planejamento2024[[#This Row],[Valor unitário]]</f>
        <v>0</v>
      </c>
      <c r="J1208" s="83" t="s">
        <v>20</v>
      </c>
      <c r="K1208" s="83" t="s">
        <v>478</v>
      </c>
      <c r="L1208" s="86">
        <v>45292</v>
      </c>
      <c r="M1208" s="83" t="s">
        <v>20</v>
      </c>
      <c r="N1208" s="87"/>
      <c r="O1208" s="83" t="s">
        <v>827</v>
      </c>
    </row>
    <row r="1209" spans="1:15" ht="18">
      <c r="A1209" s="81">
        <f t="shared" si="18"/>
        <v>1208</v>
      </c>
      <c r="B1209" s="82" t="s">
        <v>2066</v>
      </c>
      <c r="C1209" s="83" t="s">
        <v>34</v>
      </c>
      <c r="D1209" s="83" t="s">
        <v>35</v>
      </c>
      <c r="E1209" s="84">
        <v>5</v>
      </c>
      <c r="F1209" s="85">
        <v>41.67</v>
      </c>
      <c r="G1209" s="83" t="s">
        <v>885</v>
      </c>
      <c r="H1209" s="83" t="s">
        <v>2059</v>
      </c>
      <c r="I1209" s="85">
        <f>Planejamento2024[[#This Row],[Qnt de Itens]]*Planejamento2024[[#This Row],[Valor unitário]]</f>
        <v>208.35000000000002</v>
      </c>
      <c r="J1209" s="83" t="s">
        <v>20</v>
      </c>
      <c r="K1209" s="83" t="s">
        <v>415</v>
      </c>
      <c r="L1209" s="86">
        <v>45292</v>
      </c>
      <c r="M1209" s="83" t="s">
        <v>20</v>
      </c>
      <c r="N1209" s="87" t="s">
        <v>2060</v>
      </c>
      <c r="O1209" s="83" t="s">
        <v>827</v>
      </c>
    </row>
    <row r="1210" spans="1:15" ht="45">
      <c r="A1210" s="81">
        <f t="shared" si="18"/>
        <v>1209</v>
      </c>
      <c r="B1210" s="82" t="s">
        <v>2067</v>
      </c>
      <c r="C1210" s="83" t="s">
        <v>25</v>
      </c>
      <c r="D1210" s="83" t="s">
        <v>17</v>
      </c>
      <c r="E1210" s="84">
        <v>12</v>
      </c>
      <c r="F1210" s="88">
        <v>15840</v>
      </c>
      <c r="G1210" s="83" t="s">
        <v>18</v>
      </c>
      <c r="H1210" s="83" t="s">
        <v>2059</v>
      </c>
      <c r="I1210" s="88">
        <f>Planejamento2024[[#This Row],[Qnt de Itens]]*Planejamento2024[[#This Row],[Valor unitário]]</f>
        <v>190080</v>
      </c>
      <c r="J1210" s="83" t="s">
        <v>20</v>
      </c>
      <c r="K1210" s="83" t="s">
        <v>415</v>
      </c>
      <c r="L1210" s="86">
        <v>45503</v>
      </c>
      <c r="M1210" s="83" t="s">
        <v>38</v>
      </c>
      <c r="N1210" s="87" t="s">
        <v>2068</v>
      </c>
      <c r="O1210" s="83" t="s">
        <v>827</v>
      </c>
    </row>
    <row r="1211" spans="1:15" ht="18">
      <c r="A1211" s="81">
        <f t="shared" si="18"/>
        <v>1210</v>
      </c>
      <c r="B1211" s="82" t="s">
        <v>2069</v>
      </c>
      <c r="C1211" s="83" t="s">
        <v>34</v>
      </c>
      <c r="D1211" s="83" t="s">
        <v>168</v>
      </c>
      <c r="E1211" s="84">
        <v>50</v>
      </c>
      <c r="F1211" s="88"/>
      <c r="G1211" s="83" t="s">
        <v>885</v>
      </c>
      <c r="H1211" s="83" t="s">
        <v>2059</v>
      </c>
      <c r="I1211" s="85">
        <f>Planejamento2024[[#This Row],[Qnt de Itens]]*Planejamento2024[[#This Row],[Valor unitário]]</f>
        <v>0</v>
      </c>
      <c r="J1211" s="83" t="s">
        <v>20</v>
      </c>
      <c r="K1211" s="83" t="s">
        <v>478</v>
      </c>
      <c r="L1211" s="86">
        <v>45292</v>
      </c>
      <c r="M1211" s="83" t="s">
        <v>20</v>
      </c>
      <c r="N1211" s="87"/>
      <c r="O1211" s="83" t="s">
        <v>827</v>
      </c>
    </row>
    <row r="1212" spans="1:15" ht="117">
      <c r="A1212" s="81">
        <f t="shared" si="18"/>
        <v>1211</v>
      </c>
      <c r="B1212" s="82" t="s">
        <v>2070</v>
      </c>
      <c r="C1212" s="83" t="s">
        <v>25</v>
      </c>
      <c r="D1212" s="83" t="s">
        <v>17</v>
      </c>
      <c r="E1212" s="84">
        <v>12</v>
      </c>
      <c r="F1212" s="85">
        <v>5351.55</v>
      </c>
      <c r="G1212" s="83" t="s">
        <v>18</v>
      </c>
      <c r="H1212" s="83" t="s">
        <v>2071</v>
      </c>
      <c r="I1212" s="85">
        <f>Planejamento2024[[#This Row],[Qnt de Itens]]*Planejamento2024[[#This Row],[Valor unitário]]</f>
        <v>64218.600000000006</v>
      </c>
      <c r="J1212" s="83" t="s">
        <v>20</v>
      </c>
      <c r="K1212" s="83" t="s">
        <v>415</v>
      </c>
      <c r="L1212" s="86">
        <v>45292</v>
      </c>
      <c r="M1212" s="83" t="s">
        <v>38</v>
      </c>
      <c r="N1212" s="87" t="s">
        <v>2072</v>
      </c>
      <c r="O1212" s="83" t="s">
        <v>827</v>
      </c>
    </row>
    <row r="1213" spans="1:15" ht="36">
      <c r="A1213" s="81">
        <f t="shared" si="18"/>
        <v>1212</v>
      </c>
      <c r="B1213" s="82" t="s">
        <v>2073</v>
      </c>
      <c r="C1213" s="83" t="s">
        <v>34</v>
      </c>
      <c r="D1213" s="83" t="s">
        <v>35</v>
      </c>
      <c r="E1213" s="84">
        <v>120</v>
      </c>
      <c r="F1213" s="88">
        <v>505.28</v>
      </c>
      <c r="G1213" s="83" t="s">
        <v>510</v>
      </c>
      <c r="H1213" s="83" t="s">
        <v>2074</v>
      </c>
      <c r="I1213" s="85">
        <f>Planejamento2024[[#This Row],[Qnt de Itens]]*Planejamento2024[[#This Row],[Valor unitário]]</f>
        <v>60633.599999999999</v>
      </c>
      <c r="J1213" s="83" t="s">
        <v>20</v>
      </c>
      <c r="K1213" s="83" t="s">
        <v>415</v>
      </c>
      <c r="L1213" s="86">
        <v>45292</v>
      </c>
      <c r="M1213" s="83" t="s">
        <v>38</v>
      </c>
      <c r="N1213" s="87" t="s">
        <v>951</v>
      </c>
      <c r="O1213" s="83" t="s">
        <v>827</v>
      </c>
    </row>
    <row r="1214" spans="1:15" ht="18">
      <c r="A1214" s="81">
        <f t="shared" si="18"/>
        <v>1213</v>
      </c>
      <c r="B1214" s="82" t="s">
        <v>2075</v>
      </c>
      <c r="C1214" s="83" t="s">
        <v>34</v>
      </c>
      <c r="D1214" s="83" t="s">
        <v>35</v>
      </c>
      <c r="E1214" s="84">
        <v>5000</v>
      </c>
      <c r="F1214" s="97">
        <v>3.31</v>
      </c>
      <c r="G1214" s="83" t="s">
        <v>2076</v>
      </c>
      <c r="H1214" s="83" t="s">
        <v>2074</v>
      </c>
      <c r="I1214" s="85">
        <f>Planejamento2024[[#This Row],[Qnt de Itens]]*Planejamento2024[[#This Row],[Valor unitário]]</f>
        <v>16550</v>
      </c>
      <c r="J1214" s="83" t="s">
        <v>20</v>
      </c>
      <c r="K1214" s="83" t="s">
        <v>415</v>
      </c>
      <c r="L1214" s="86">
        <v>45292</v>
      </c>
      <c r="M1214" s="83" t="s">
        <v>38</v>
      </c>
      <c r="N1214" s="87" t="s">
        <v>2077</v>
      </c>
      <c r="O1214" s="83" t="s">
        <v>827</v>
      </c>
    </row>
    <row r="1215" spans="1:15" ht="18">
      <c r="A1215" s="81">
        <f t="shared" si="18"/>
        <v>1214</v>
      </c>
      <c r="B1215" s="82" t="s">
        <v>484</v>
      </c>
      <c r="C1215" s="83" t="s">
        <v>34</v>
      </c>
      <c r="D1215" s="83" t="s">
        <v>35</v>
      </c>
      <c r="E1215" s="84">
        <v>8000</v>
      </c>
      <c r="F1215" s="97">
        <v>3.47</v>
      </c>
      <c r="G1215" s="83" t="s">
        <v>2076</v>
      </c>
      <c r="H1215" s="83" t="s">
        <v>2074</v>
      </c>
      <c r="I1215" s="85">
        <f>Planejamento2024[[#This Row],[Qnt de Itens]]*Planejamento2024[[#This Row],[Valor unitário]]</f>
        <v>27760</v>
      </c>
      <c r="J1215" s="83" t="s">
        <v>20</v>
      </c>
      <c r="K1215" s="83" t="s">
        <v>415</v>
      </c>
      <c r="L1215" s="86">
        <v>45292</v>
      </c>
      <c r="M1215" s="83" t="s">
        <v>38</v>
      </c>
      <c r="N1215" s="87" t="s">
        <v>2077</v>
      </c>
      <c r="O1215" s="83" t="s">
        <v>827</v>
      </c>
    </row>
    <row r="1216" spans="1:15" ht="18">
      <c r="A1216" s="81">
        <f t="shared" si="18"/>
        <v>1215</v>
      </c>
      <c r="B1216" s="82" t="s">
        <v>748</v>
      </c>
      <c r="C1216" s="83" t="s">
        <v>34</v>
      </c>
      <c r="D1216" s="83" t="s">
        <v>35</v>
      </c>
      <c r="E1216" s="84">
        <v>20000</v>
      </c>
      <c r="F1216" s="97">
        <v>4.1500000000000004</v>
      </c>
      <c r="G1216" s="83" t="s">
        <v>2076</v>
      </c>
      <c r="H1216" s="83" t="s">
        <v>2074</v>
      </c>
      <c r="I1216" s="85">
        <f>Planejamento2024[[#This Row],[Qnt de Itens]]*Planejamento2024[[#This Row],[Valor unitário]]</f>
        <v>83000</v>
      </c>
      <c r="J1216" s="83" t="s">
        <v>20</v>
      </c>
      <c r="K1216" s="83" t="s">
        <v>415</v>
      </c>
      <c r="L1216" s="86">
        <v>45292</v>
      </c>
      <c r="M1216" s="83" t="s">
        <v>38</v>
      </c>
      <c r="N1216" s="87" t="s">
        <v>2077</v>
      </c>
      <c r="O1216" s="83" t="s">
        <v>827</v>
      </c>
    </row>
    <row r="1217" spans="1:15" ht="27">
      <c r="A1217" s="81">
        <f t="shared" si="18"/>
        <v>1216</v>
      </c>
      <c r="B1217" s="82" t="s">
        <v>2078</v>
      </c>
      <c r="C1217" s="83" t="s">
        <v>25</v>
      </c>
      <c r="D1217" s="83" t="s">
        <v>17</v>
      </c>
      <c r="E1217" s="84">
        <v>1</v>
      </c>
      <c r="F1217" s="88"/>
      <c r="G1217" s="83" t="s">
        <v>2052</v>
      </c>
      <c r="H1217" s="83" t="s">
        <v>2074</v>
      </c>
      <c r="I1217" s="85">
        <f>Planejamento2024[[#This Row],[Qnt de Itens]]*Planejamento2024[[#This Row],[Valor unitário]]</f>
        <v>0</v>
      </c>
      <c r="J1217" s="83" t="s">
        <v>20</v>
      </c>
      <c r="K1217" s="83" t="s">
        <v>492</v>
      </c>
      <c r="L1217" s="86">
        <v>45505</v>
      </c>
      <c r="M1217" s="83" t="s">
        <v>20</v>
      </c>
      <c r="N1217" s="87"/>
      <c r="O1217" s="83" t="s">
        <v>827</v>
      </c>
    </row>
    <row r="1218" spans="1:15" ht="18">
      <c r="A1218" s="81">
        <f t="shared" ref="A1218:A1229" si="19">ROW(A1217)</f>
        <v>1217</v>
      </c>
      <c r="B1218" s="82" t="s">
        <v>2079</v>
      </c>
      <c r="C1218" s="83" t="s">
        <v>25</v>
      </c>
      <c r="D1218" s="83" t="s">
        <v>17</v>
      </c>
      <c r="E1218" s="84">
        <v>1</v>
      </c>
      <c r="F1218" s="88"/>
      <c r="G1218" s="83" t="s">
        <v>2052</v>
      </c>
      <c r="H1218" s="83" t="s">
        <v>2074</v>
      </c>
      <c r="I1218" s="85">
        <f>Planejamento2024[[#This Row],[Qnt de Itens]]*Planejamento2024[[#This Row],[Valor unitário]]</f>
        <v>0</v>
      </c>
      <c r="J1218" s="83" t="s">
        <v>20</v>
      </c>
      <c r="K1218" s="83" t="s">
        <v>492</v>
      </c>
      <c r="L1218" s="86">
        <v>45505</v>
      </c>
      <c r="M1218" s="83" t="s">
        <v>20</v>
      </c>
      <c r="N1218" s="87"/>
      <c r="O1218" s="83" t="s">
        <v>827</v>
      </c>
    </row>
    <row r="1219" spans="1:15" ht="18">
      <c r="A1219" s="81">
        <f t="shared" si="19"/>
        <v>1218</v>
      </c>
      <c r="B1219" s="82" t="s">
        <v>2079</v>
      </c>
      <c r="C1219" s="83" t="s">
        <v>25</v>
      </c>
      <c r="D1219" s="83" t="s">
        <v>17</v>
      </c>
      <c r="E1219" s="84">
        <v>1</v>
      </c>
      <c r="F1219" s="88"/>
      <c r="G1219" s="83" t="s">
        <v>2052</v>
      </c>
      <c r="H1219" s="83" t="s">
        <v>2074</v>
      </c>
      <c r="I1219" s="85">
        <f>Planejamento2024[[#This Row],[Qnt de Itens]]*Planejamento2024[[#This Row],[Valor unitário]]</f>
        <v>0</v>
      </c>
      <c r="J1219" s="83" t="s">
        <v>20</v>
      </c>
      <c r="K1219" s="83" t="s">
        <v>492</v>
      </c>
      <c r="L1219" s="86">
        <v>45505</v>
      </c>
      <c r="M1219" s="83" t="s">
        <v>20</v>
      </c>
      <c r="N1219" s="87"/>
      <c r="O1219" s="83" t="s">
        <v>827</v>
      </c>
    </row>
    <row r="1220" spans="1:15" ht="18">
      <c r="A1220" s="81">
        <f t="shared" si="19"/>
        <v>1219</v>
      </c>
      <c r="B1220" s="82" t="s">
        <v>2080</v>
      </c>
      <c r="C1220" s="83" t="s">
        <v>25</v>
      </c>
      <c r="D1220" s="83" t="s">
        <v>17</v>
      </c>
      <c r="E1220" s="84">
        <v>1</v>
      </c>
      <c r="F1220" s="88"/>
      <c r="G1220" s="83" t="s">
        <v>2052</v>
      </c>
      <c r="H1220" s="83" t="s">
        <v>2074</v>
      </c>
      <c r="I1220" s="85">
        <f>Planejamento2024[[#This Row],[Qnt de Itens]]*Planejamento2024[[#This Row],[Valor unitário]]</f>
        <v>0</v>
      </c>
      <c r="J1220" s="83" t="s">
        <v>20</v>
      </c>
      <c r="K1220" s="83" t="s">
        <v>492</v>
      </c>
      <c r="L1220" s="86">
        <v>45505</v>
      </c>
      <c r="M1220" s="83" t="s">
        <v>20</v>
      </c>
      <c r="N1220" s="87"/>
      <c r="O1220" s="83" t="s">
        <v>827</v>
      </c>
    </row>
    <row r="1221" spans="1:15" ht="18">
      <c r="A1221" s="81">
        <f t="shared" si="19"/>
        <v>1220</v>
      </c>
      <c r="B1221" s="82" t="s">
        <v>2080</v>
      </c>
      <c r="C1221" s="83" t="s">
        <v>25</v>
      </c>
      <c r="D1221" s="83" t="s">
        <v>17</v>
      </c>
      <c r="E1221" s="84">
        <v>1</v>
      </c>
      <c r="F1221" s="88"/>
      <c r="G1221" s="83" t="s">
        <v>2052</v>
      </c>
      <c r="H1221" s="83" t="s">
        <v>2074</v>
      </c>
      <c r="I1221" s="85">
        <f>Planejamento2024[[#This Row],[Qnt de Itens]]*Planejamento2024[[#This Row],[Valor unitário]]</f>
        <v>0</v>
      </c>
      <c r="J1221" s="83" t="s">
        <v>20</v>
      </c>
      <c r="K1221" s="83" t="s">
        <v>492</v>
      </c>
      <c r="L1221" s="86">
        <v>45505</v>
      </c>
      <c r="M1221" s="83" t="s">
        <v>20</v>
      </c>
      <c r="N1221" s="87"/>
      <c r="O1221" s="83" t="s">
        <v>827</v>
      </c>
    </row>
    <row r="1222" spans="1:15" ht="18">
      <c r="A1222" s="81">
        <f t="shared" si="19"/>
        <v>1221</v>
      </c>
      <c r="B1222" s="82" t="s">
        <v>2080</v>
      </c>
      <c r="C1222" s="83" t="s">
        <v>25</v>
      </c>
      <c r="D1222" s="83" t="s">
        <v>17</v>
      </c>
      <c r="E1222" s="84">
        <v>1</v>
      </c>
      <c r="F1222" s="88"/>
      <c r="G1222" s="83" t="s">
        <v>2052</v>
      </c>
      <c r="H1222" s="83" t="s">
        <v>2074</v>
      </c>
      <c r="I1222" s="85">
        <f>Planejamento2024[[#This Row],[Qnt de Itens]]*Planejamento2024[[#This Row],[Valor unitário]]</f>
        <v>0</v>
      </c>
      <c r="J1222" s="83" t="s">
        <v>20</v>
      </c>
      <c r="K1222" s="83" t="s">
        <v>492</v>
      </c>
      <c r="L1222" s="86">
        <v>45505</v>
      </c>
      <c r="M1222" s="83" t="s">
        <v>20</v>
      </c>
      <c r="N1222" s="87"/>
      <c r="O1222" s="83" t="s">
        <v>827</v>
      </c>
    </row>
    <row r="1223" spans="1:15" ht="27">
      <c r="A1223" s="81">
        <f t="shared" si="19"/>
        <v>1222</v>
      </c>
      <c r="B1223" s="82" t="s">
        <v>2081</v>
      </c>
      <c r="C1223" s="83" t="s">
        <v>25</v>
      </c>
      <c r="D1223" s="83" t="s">
        <v>17</v>
      </c>
      <c r="E1223" s="84">
        <v>1</v>
      </c>
      <c r="F1223" s="88"/>
      <c r="G1223" s="83" t="s">
        <v>2052</v>
      </c>
      <c r="H1223" s="83" t="s">
        <v>2074</v>
      </c>
      <c r="I1223" s="85">
        <f>Planejamento2024[[#This Row],[Qnt de Itens]]*Planejamento2024[[#This Row],[Valor unitário]]</f>
        <v>0</v>
      </c>
      <c r="J1223" s="83" t="s">
        <v>20</v>
      </c>
      <c r="K1223" s="83" t="s">
        <v>492</v>
      </c>
      <c r="L1223" s="86">
        <v>45505</v>
      </c>
      <c r="M1223" s="83" t="s">
        <v>20</v>
      </c>
      <c r="N1223" s="87"/>
      <c r="O1223" s="83" t="s">
        <v>827</v>
      </c>
    </row>
    <row r="1224" spans="1:15" ht="18">
      <c r="A1224" s="81">
        <f t="shared" si="19"/>
        <v>1223</v>
      </c>
      <c r="B1224" s="82" t="s">
        <v>2082</v>
      </c>
      <c r="C1224" s="83" t="s">
        <v>25</v>
      </c>
      <c r="D1224" s="83" t="s">
        <v>17</v>
      </c>
      <c r="E1224" s="84">
        <v>1</v>
      </c>
      <c r="F1224" s="88">
        <v>2203.61</v>
      </c>
      <c r="G1224" s="83" t="s">
        <v>2052</v>
      </c>
      <c r="H1224" s="83" t="s">
        <v>2074</v>
      </c>
      <c r="I1224" s="85">
        <f>Planejamento2024[[#This Row],[Qnt de Itens]]*Planejamento2024[[#This Row],[Valor unitário]]</f>
        <v>2203.61</v>
      </c>
      <c r="J1224" s="83" t="s">
        <v>20</v>
      </c>
      <c r="K1224" s="83" t="s">
        <v>492</v>
      </c>
      <c r="L1224" s="86">
        <v>45292</v>
      </c>
      <c r="M1224" s="83" t="s">
        <v>20</v>
      </c>
      <c r="N1224" s="87"/>
      <c r="O1224" s="83"/>
    </row>
    <row r="1225" spans="1:15" ht="18">
      <c r="A1225" s="81">
        <f t="shared" si="19"/>
        <v>1224</v>
      </c>
      <c r="B1225" s="82" t="s">
        <v>2083</v>
      </c>
      <c r="C1225" s="83" t="s">
        <v>25</v>
      </c>
      <c r="D1225" s="83" t="s">
        <v>17</v>
      </c>
      <c r="E1225" s="84">
        <v>1</v>
      </c>
      <c r="F1225" s="88">
        <v>935.21</v>
      </c>
      <c r="G1225" s="83" t="s">
        <v>2052</v>
      </c>
      <c r="H1225" s="83" t="s">
        <v>2074</v>
      </c>
      <c r="I1225" s="85">
        <f>Planejamento2024[[#This Row],[Qnt de Itens]]*Planejamento2024[[#This Row],[Valor unitário]]</f>
        <v>935.21</v>
      </c>
      <c r="J1225" s="83" t="s">
        <v>20</v>
      </c>
      <c r="K1225" s="83" t="s">
        <v>492</v>
      </c>
      <c r="L1225" s="86">
        <v>45292</v>
      </c>
      <c r="M1225" s="83" t="s">
        <v>20</v>
      </c>
      <c r="N1225" s="87"/>
      <c r="O1225" s="83"/>
    </row>
    <row r="1226" spans="1:15" ht="18">
      <c r="A1226" s="81">
        <f t="shared" si="19"/>
        <v>1225</v>
      </c>
      <c r="B1226" s="82" t="s">
        <v>2084</v>
      </c>
      <c r="C1226" s="83" t="s">
        <v>25</v>
      </c>
      <c r="D1226" s="83" t="s">
        <v>17</v>
      </c>
      <c r="E1226" s="84">
        <v>1</v>
      </c>
      <c r="F1226" s="88">
        <v>546.88</v>
      </c>
      <c r="G1226" s="83" t="s">
        <v>2052</v>
      </c>
      <c r="H1226" s="83" t="s">
        <v>2074</v>
      </c>
      <c r="I1226" s="85">
        <f>Planejamento2024[[#This Row],[Qnt de Itens]]*Planejamento2024[[#This Row],[Valor unitário]]</f>
        <v>546.88</v>
      </c>
      <c r="J1226" s="83" t="s">
        <v>20</v>
      </c>
      <c r="K1226" s="83" t="s">
        <v>492</v>
      </c>
      <c r="L1226" s="86">
        <v>45292</v>
      </c>
      <c r="M1226" s="83" t="s">
        <v>20</v>
      </c>
      <c r="N1226" s="87"/>
      <c r="O1226" s="83"/>
    </row>
    <row r="1227" spans="1:15" ht="18">
      <c r="A1227" s="81">
        <f t="shared" si="19"/>
        <v>1226</v>
      </c>
      <c r="B1227" s="82" t="s">
        <v>2085</v>
      </c>
      <c r="C1227" s="83" t="s">
        <v>25</v>
      </c>
      <c r="D1227" s="83" t="s">
        <v>17</v>
      </c>
      <c r="E1227" s="84">
        <v>1</v>
      </c>
      <c r="F1227" s="88">
        <v>546.88</v>
      </c>
      <c r="G1227" s="83" t="s">
        <v>2052</v>
      </c>
      <c r="H1227" s="83" t="s">
        <v>2074</v>
      </c>
      <c r="I1227" s="85">
        <f>Planejamento2024[[#This Row],[Qnt de Itens]]*Planejamento2024[[#This Row],[Valor unitário]]</f>
        <v>546.88</v>
      </c>
      <c r="J1227" s="83" t="s">
        <v>20</v>
      </c>
      <c r="K1227" s="83" t="s">
        <v>492</v>
      </c>
      <c r="L1227" s="86">
        <v>45292</v>
      </c>
      <c r="M1227" s="83" t="s">
        <v>20</v>
      </c>
      <c r="N1227" s="87"/>
      <c r="O1227" s="83"/>
    </row>
    <row r="1228" spans="1:15" ht="18">
      <c r="A1228" s="81">
        <f t="shared" si="19"/>
        <v>1227</v>
      </c>
      <c r="B1228" s="82" t="s">
        <v>2086</v>
      </c>
      <c r="C1228" s="83" t="s">
        <v>25</v>
      </c>
      <c r="D1228" s="83" t="s">
        <v>17</v>
      </c>
      <c r="E1228" s="84">
        <v>1</v>
      </c>
      <c r="F1228" s="88">
        <v>546.88</v>
      </c>
      <c r="G1228" s="83" t="s">
        <v>2052</v>
      </c>
      <c r="H1228" s="83" t="s">
        <v>2074</v>
      </c>
      <c r="I1228" s="85">
        <f>Planejamento2024[[#This Row],[Qnt de Itens]]*Planejamento2024[[#This Row],[Valor unitário]]</f>
        <v>546.88</v>
      </c>
      <c r="J1228" s="83" t="s">
        <v>20</v>
      </c>
      <c r="K1228" s="83" t="s">
        <v>492</v>
      </c>
      <c r="L1228" s="86">
        <v>45292</v>
      </c>
      <c r="M1228" s="83" t="s">
        <v>20</v>
      </c>
      <c r="N1228" s="87"/>
      <c r="O1228" s="83"/>
    </row>
    <row r="1229" spans="1:15" ht="18">
      <c r="A1229" s="81">
        <f t="shared" si="19"/>
        <v>1228</v>
      </c>
      <c r="B1229" s="82" t="s">
        <v>2087</v>
      </c>
      <c r="C1229" s="83" t="s">
        <v>25</v>
      </c>
      <c r="D1229" s="83" t="s">
        <v>17</v>
      </c>
      <c r="E1229" s="84">
        <v>1</v>
      </c>
      <c r="F1229" s="88">
        <v>546.88</v>
      </c>
      <c r="G1229" s="83" t="s">
        <v>2052</v>
      </c>
      <c r="H1229" s="83" t="s">
        <v>2074</v>
      </c>
      <c r="I1229" s="85">
        <f>Planejamento2024[[#This Row],[Qnt de Itens]]*Planejamento2024[[#This Row],[Valor unitário]]</f>
        <v>546.88</v>
      </c>
      <c r="J1229" s="83" t="s">
        <v>20</v>
      </c>
      <c r="K1229" s="83" t="s">
        <v>492</v>
      </c>
      <c r="L1229" s="86">
        <v>45292</v>
      </c>
      <c r="M1229" s="83" t="s">
        <v>20</v>
      </c>
      <c r="N1229" s="87"/>
      <c r="O1229" s="83"/>
    </row>
    <row r="1230" spans="1:15" ht="27">
      <c r="A1230" s="81">
        <f>ROW(A1225)</f>
        <v>1225</v>
      </c>
      <c r="B1230" s="82" t="s">
        <v>2088</v>
      </c>
      <c r="C1230" s="83" t="s">
        <v>25</v>
      </c>
      <c r="D1230" s="83" t="s">
        <v>17</v>
      </c>
      <c r="E1230" s="84">
        <v>1</v>
      </c>
      <c r="F1230" s="88">
        <v>2800</v>
      </c>
      <c r="G1230" s="83" t="s">
        <v>2052</v>
      </c>
      <c r="H1230" s="83" t="s">
        <v>2074</v>
      </c>
      <c r="I1230" s="85">
        <f>Planejamento2024[[#This Row],[Qnt de Itens]]*Planejamento2024[[#This Row],[Valor unitário]]</f>
        <v>2800</v>
      </c>
      <c r="J1230" s="83" t="s">
        <v>20</v>
      </c>
      <c r="K1230" s="83" t="s">
        <v>492</v>
      </c>
      <c r="L1230" s="86">
        <v>45292</v>
      </c>
      <c r="M1230" s="83" t="s">
        <v>20</v>
      </c>
      <c r="N1230" s="87"/>
      <c r="O1230" s="83"/>
    </row>
    <row r="1231" spans="1:15" ht="36">
      <c r="A1231" s="81">
        <f t="shared" ref="A1231:A1246" si="20">ROW(A1230)</f>
        <v>1230</v>
      </c>
      <c r="B1231" s="82" t="s">
        <v>2089</v>
      </c>
      <c r="C1231" s="83" t="s">
        <v>25</v>
      </c>
      <c r="D1231" s="83" t="s">
        <v>17</v>
      </c>
      <c r="E1231" s="84">
        <v>1</v>
      </c>
      <c r="F1231" s="88">
        <v>1150</v>
      </c>
      <c r="G1231" s="83" t="s">
        <v>2052</v>
      </c>
      <c r="H1231" s="83" t="s">
        <v>2074</v>
      </c>
      <c r="I1231" s="85">
        <f>Planejamento2024[[#This Row],[Qnt de Itens]]*Planejamento2024[[#This Row],[Valor unitário]]</f>
        <v>1150</v>
      </c>
      <c r="J1231" s="83" t="s">
        <v>20</v>
      </c>
      <c r="K1231" s="83" t="s">
        <v>492</v>
      </c>
      <c r="L1231" s="86">
        <v>45292</v>
      </c>
      <c r="M1231" s="83" t="s">
        <v>20</v>
      </c>
      <c r="N1231" s="87"/>
      <c r="O1231" s="83"/>
    </row>
    <row r="1232" spans="1:15" ht="27">
      <c r="A1232" s="81">
        <f t="shared" si="20"/>
        <v>1231</v>
      </c>
      <c r="B1232" s="82" t="s">
        <v>2090</v>
      </c>
      <c r="C1232" s="83" t="s">
        <v>25</v>
      </c>
      <c r="D1232" s="83" t="s">
        <v>17</v>
      </c>
      <c r="E1232" s="84">
        <v>1</v>
      </c>
      <c r="F1232" s="88">
        <v>740.63</v>
      </c>
      <c r="G1232" s="83" t="s">
        <v>2052</v>
      </c>
      <c r="H1232" s="83" t="s">
        <v>2074</v>
      </c>
      <c r="I1232" s="88">
        <f>Planejamento2024[[#This Row],[Qnt de Itens]]*Planejamento2024[[#This Row],[Valor unitário]]</f>
        <v>740.63</v>
      </c>
      <c r="J1232" s="83" t="s">
        <v>20</v>
      </c>
      <c r="K1232" s="83" t="s">
        <v>415</v>
      </c>
      <c r="L1232" s="86">
        <v>45292</v>
      </c>
      <c r="M1232" s="83" t="s">
        <v>38</v>
      </c>
      <c r="N1232" s="87"/>
      <c r="O1232" s="83" t="s">
        <v>827</v>
      </c>
    </row>
    <row r="1233" spans="1:15" ht="27">
      <c r="A1233" s="81">
        <f t="shared" si="20"/>
        <v>1232</v>
      </c>
      <c r="B1233" s="82" t="s">
        <v>2091</v>
      </c>
      <c r="C1233" s="83" t="s">
        <v>25</v>
      </c>
      <c r="D1233" s="83" t="s">
        <v>17</v>
      </c>
      <c r="E1233" s="84">
        <v>1</v>
      </c>
      <c r="F1233" s="88">
        <v>1476.37</v>
      </c>
      <c r="G1233" s="83" t="s">
        <v>2052</v>
      </c>
      <c r="H1233" s="83" t="s">
        <v>2074</v>
      </c>
      <c r="I1233" s="88">
        <f>Planejamento2024[[#This Row],[Qnt de Itens]]*Planejamento2024[[#This Row],[Valor unitário]]</f>
        <v>1476.37</v>
      </c>
      <c r="J1233" s="83" t="s">
        <v>20</v>
      </c>
      <c r="K1233" s="83" t="s">
        <v>415</v>
      </c>
      <c r="L1233" s="86">
        <v>45323</v>
      </c>
      <c r="M1233" s="83" t="s">
        <v>38</v>
      </c>
      <c r="N1233" s="87"/>
      <c r="O1233" s="83" t="s">
        <v>827</v>
      </c>
    </row>
    <row r="1234" spans="1:15" ht="18">
      <c r="A1234" s="81">
        <f t="shared" si="20"/>
        <v>1233</v>
      </c>
      <c r="B1234" s="82" t="s">
        <v>2092</v>
      </c>
      <c r="C1234" s="83" t="s">
        <v>25</v>
      </c>
      <c r="D1234" s="83" t="s">
        <v>17</v>
      </c>
      <c r="E1234" s="84">
        <v>1</v>
      </c>
      <c r="F1234" s="88"/>
      <c r="G1234" s="83" t="s">
        <v>2052</v>
      </c>
      <c r="H1234" s="83" t="s">
        <v>2074</v>
      </c>
      <c r="I1234" s="85">
        <f>Planejamento2024[[#This Row],[Qnt de Itens]]*Planejamento2024[[#This Row],[Valor unitário]]</f>
        <v>0</v>
      </c>
      <c r="J1234" s="83" t="s">
        <v>20</v>
      </c>
      <c r="K1234" s="83" t="s">
        <v>492</v>
      </c>
      <c r="L1234" s="86">
        <v>45505</v>
      </c>
      <c r="M1234" s="83" t="s">
        <v>20</v>
      </c>
      <c r="N1234" s="87"/>
      <c r="O1234" s="83" t="s">
        <v>827</v>
      </c>
    </row>
    <row r="1235" spans="1:15" ht="18">
      <c r="A1235" s="81">
        <f t="shared" si="20"/>
        <v>1234</v>
      </c>
      <c r="B1235" s="82" t="s">
        <v>2093</v>
      </c>
      <c r="C1235" s="83" t="s">
        <v>25</v>
      </c>
      <c r="D1235" s="83" t="s">
        <v>17</v>
      </c>
      <c r="E1235" s="84">
        <v>1</v>
      </c>
      <c r="F1235" s="88">
        <v>740.63</v>
      </c>
      <c r="G1235" s="83" t="s">
        <v>2052</v>
      </c>
      <c r="H1235" s="83" t="s">
        <v>2074</v>
      </c>
      <c r="I1235" s="88">
        <f>Planejamento2024[[#This Row],[Qnt de Itens]]*Planejamento2024[[#This Row],[Valor unitário]]</f>
        <v>740.63</v>
      </c>
      <c r="J1235" s="83" t="s">
        <v>20</v>
      </c>
      <c r="K1235" s="83" t="s">
        <v>415</v>
      </c>
      <c r="L1235" s="86">
        <v>45292</v>
      </c>
      <c r="M1235" s="83" t="s">
        <v>38</v>
      </c>
      <c r="N1235" s="87"/>
      <c r="O1235" s="83" t="s">
        <v>827</v>
      </c>
    </row>
    <row r="1236" spans="1:15" ht="18">
      <c r="A1236" s="81">
        <f t="shared" si="20"/>
        <v>1235</v>
      </c>
      <c r="B1236" s="82" t="s">
        <v>2094</v>
      </c>
      <c r="C1236" s="83" t="s">
        <v>25</v>
      </c>
      <c r="D1236" s="83" t="s">
        <v>17</v>
      </c>
      <c r="E1236" s="84">
        <v>1</v>
      </c>
      <c r="F1236" s="88"/>
      <c r="G1236" s="83" t="s">
        <v>2052</v>
      </c>
      <c r="H1236" s="83" t="s">
        <v>2074</v>
      </c>
      <c r="I1236" s="85">
        <f>Planejamento2024[[#This Row],[Qnt de Itens]]*Planejamento2024[[#This Row],[Valor unitário]]</f>
        <v>0</v>
      </c>
      <c r="J1236" s="83" t="s">
        <v>20</v>
      </c>
      <c r="K1236" s="83" t="s">
        <v>492</v>
      </c>
      <c r="L1236" s="86">
        <v>45505</v>
      </c>
      <c r="M1236" s="83" t="s">
        <v>20</v>
      </c>
      <c r="N1236" s="87"/>
      <c r="O1236" s="83" t="s">
        <v>827</v>
      </c>
    </row>
    <row r="1237" spans="1:15" ht="27">
      <c r="A1237" s="81">
        <f t="shared" si="20"/>
        <v>1236</v>
      </c>
      <c r="B1237" s="82" t="s">
        <v>2095</v>
      </c>
      <c r="C1237" s="83" t="s">
        <v>25</v>
      </c>
      <c r="D1237" s="83" t="s">
        <v>17</v>
      </c>
      <c r="E1237" s="84">
        <v>1</v>
      </c>
      <c r="F1237" s="88">
        <v>1150</v>
      </c>
      <c r="G1237" s="83" t="s">
        <v>2052</v>
      </c>
      <c r="H1237" s="83" t="s">
        <v>2074</v>
      </c>
      <c r="I1237" s="85">
        <f>Planejamento2024[[#This Row],[Qnt de Itens]]*Planejamento2024[[#This Row],[Valor unitário]]</f>
        <v>1150</v>
      </c>
      <c r="J1237" s="83" t="s">
        <v>20</v>
      </c>
      <c r="K1237" s="83" t="s">
        <v>492</v>
      </c>
      <c r="L1237" s="86">
        <v>45505</v>
      </c>
      <c r="M1237" s="83" t="s">
        <v>20</v>
      </c>
      <c r="N1237" s="87"/>
      <c r="O1237" s="83" t="s">
        <v>827</v>
      </c>
    </row>
    <row r="1238" spans="1:15" ht="27">
      <c r="A1238" s="81">
        <f t="shared" si="20"/>
        <v>1237</v>
      </c>
      <c r="B1238" s="82" t="s">
        <v>2095</v>
      </c>
      <c r="C1238" s="83" t="s">
        <v>25</v>
      </c>
      <c r="D1238" s="83" t="s">
        <v>17</v>
      </c>
      <c r="E1238" s="84">
        <v>1</v>
      </c>
      <c r="F1238" s="88">
        <v>1150</v>
      </c>
      <c r="G1238" s="83" t="s">
        <v>2052</v>
      </c>
      <c r="H1238" s="83" t="s">
        <v>2074</v>
      </c>
      <c r="I1238" s="85">
        <f>Planejamento2024[[#This Row],[Qnt de Itens]]*Planejamento2024[[#This Row],[Valor unitário]]</f>
        <v>1150</v>
      </c>
      <c r="J1238" s="83" t="s">
        <v>20</v>
      </c>
      <c r="K1238" s="83" t="s">
        <v>492</v>
      </c>
      <c r="L1238" s="86">
        <v>45505</v>
      </c>
      <c r="M1238" s="83" t="s">
        <v>20</v>
      </c>
      <c r="N1238" s="87"/>
      <c r="O1238" s="83" t="s">
        <v>827</v>
      </c>
    </row>
    <row r="1239" spans="1:15" ht="36">
      <c r="A1239" s="81">
        <f t="shared" si="20"/>
        <v>1238</v>
      </c>
      <c r="B1239" s="82" t="s">
        <v>2096</v>
      </c>
      <c r="C1239" s="83" t="s">
        <v>25</v>
      </c>
      <c r="D1239" s="83" t="s">
        <v>17</v>
      </c>
      <c r="E1239" s="84">
        <v>1</v>
      </c>
      <c r="F1239" s="88">
        <v>2714.5</v>
      </c>
      <c r="G1239" s="83" t="s">
        <v>2052</v>
      </c>
      <c r="H1239" s="83" t="s">
        <v>2074</v>
      </c>
      <c r="I1239" s="88">
        <f>Planejamento2024[[#This Row],[Qnt de Itens]]*Planejamento2024[[#This Row],[Valor unitário]]</f>
        <v>2714.5</v>
      </c>
      <c r="J1239" s="83" t="s">
        <v>20</v>
      </c>
      <c r="K1239" s="83" t="s">
        <v>415</v>
      </c>
      <c r="L1239" s="86">
        <v>45505</v>
      </c>
      <c r="M1239" s="83" t="s">
        <v>38</v>
      </c>
      <c r="N1239" s="87"/>
      <c r="O1239" s="83" t="s">
        <v>827</v>
      </c>
    </row>
    <row r="1240" spans="1:15" ht="18">
      <c r="A1240" s="81">
        <f t="shared" si="20"/>
        <v>1239</v>
      </c>
      <c r="B1240" s="82" t="s">
        <v>2097</v>
      </c>
      <c r="C1240" s="83" t="s">
        <v>25</v>
      </c>
      <c r="D1240" s="83" t="s">
        <v>17</v>
      </c>
      <c r="E1240" s="84">
        <v>1</v>
      </c>
      <c r="F1240" s="88"/>
      <c r="G1240" s="83" t="s">
        <v>2052</v>
      </c>
      <c r="H1240" s="83" t="s">
        <v>2074</v>
      </c>
      <c r="I1240" s="85">
        <f>Planejamento2024[[#This Row],[Qnt de Itens]]*Planejamento2024[[#This Row],[Valor unitário]]</f>
        <v>0</v>
      </c>
      <c r="J1240" s="83" t="s">
        <v>20</v>
      </c>
      <c r="K1240" s="83" t="s">
        <v>492</v>
      </c>
      <c r="L1240" s="86">
        <v>45505</v>
      </c>
      <c r="M1240" s="83" t="s">
        <v>20</v>
      </c>
      <c r="N1240" s="87"/>
      <c r="O1240" s="83" t="s">
        <v>827</v>
      </c>
    </row>
    <row r="1241" spans="1:15" ht="18">
      <c r="A1241" s="81">
        <f t="shared" si="20"/>
        <v>1240</v>
      </c>
      <c r="B1241" s="82" t="s">
        <v>2097</v>
      </c>
      <c r="C1241" s="83" t="s">
        <v>25</v>
      </c>
      <c r="D1241" s="83" t="s">
        <v>17</v>
      </c>
      <c r="E1241" s="84">
        <v>1</v>
      </c>
      <c r="F1241" s="88"/>
      <c r="G1241" s="83" t="s">
        <v>2052</v>
      </c>
      <c r="H1241" s="83" t="s">
        <v>2074</v>
      </c>
      <c r="I1241" s="85">
        <f>Planejamento2024[[#This Row],[Qnt de Itens]]*Planejamento2024[[#This Row],[Valor unitário]]</f>
        <v>0</v>
      </c>
      <c r="J1241" s="83" t="s">
        <v>20</v>
      </c>
      <c r="K1241" s="83" t="s">
        <v>492</v>
      </c>
      <c r="L1241" s="86">
        <v>45505</v>
      </c>
      <c r="M1241" s="83" t="s">
        <v>20</v>
      </c>
      <c r="N1241" s="87"/>
      <c r="O1241" s="83" t="s">
        <v>827</v>
      </c>
    </row>
    <row r="1242" spans="1:15" ht="27">
      <c r="A1242" s="81">
        <f t="shared" si="20"/>
        <v>1241</v>
      </c>
      <c r="B1242" s="82" t="s">
        <v>2098</v>
      </c>
      <c r="C1242" s="83" t="s">
        <v>34</v>
      </c>
      <c r="D1242" s="83" t="s">
        <v>35</v>
      </c>
      <c r="E1242" s="84">
        <v>120</v>
      </c>
      <c r="F1242" s="88">
        <v>510.93</v>
      </c>
      <c r="G1242" s="83" t="s">
        <v>510</v>
      </c>
      <c r="H1242" s="83" t="s">
        <v>2074</v>
      </c>
      <c r="I1242" s="85">
        <f>Planejamento2024[[#This Row],[Qnt de Itens]]*Planejamento2024[[#This Row],[Valor unitário]]</f>
        <v>61311.6</v>
      </c>
      <c r="J1242" s="83" t="s">
        <v>20</v>
      </c>
      <c r="K1242" s="83" t="s">
        <v>415</v>
      </c>
      <c r="L1242" s="86">
        <v>45292</v>
      </c>
      <c r="M1242" s="83" t="s">
        <v>38</v>
      </c>
      <c r="N1242" s="87" t="s">
        <v>951</v>
      </c>
      <c r="O1242" s="83" t="s">
        <v>827</v>
      </c>
    </row>
    <row r="1243" spans="1:15" ht="27">
      <c r="A1243" s="98">
        <f t="shared" si="20"/>
        <v>1242</v>
      </c>
      <c r="B1243" s="99" t="s">
        <v>2099</v>
      </c>
      <c r="C1243" s="83" t="s">
        <v>25</v>
      </c>
      <c r="D1243" s="83" t="s">
        <v>17</v>
      </c>
      <c r="E1243" s="84">
        <v>83440</v>
      </c>
      <c r="F1243" s="100">
        <v>9.1333300000000008</v>
      </c>
      <c r="G1243" s="83" t="s">
        <v>2100</v>
      </c>
      <c r="H1243" s="83" t="s">
        <v>2074</v>
      </c>
      <c r="I1243" s="101">
        <f>Planejamento2024[[#This Row],[Qnt de Itens]]*Planejamento2024[[#This Row],[Valor unitário]]</f>
        <v>762085.05520000006</v>
      </c>
      <c r="J1243" s="83" t="s">
        <v>20</v>
      </c>
      <c r="K1243" s="102" t="s">
        <v>415</v>
      </c>
      <c r="L1243" s="103">
        <v>45292</v>
      </c>
      <c r="M1243" s="102" t="s">
        <v>38</v>
      </c>
      <c r="N1243" s="104" t="s">
        <v>2101</v>
      </c>
      <c r="O1243" s="102" t="s">
        <v>827</v>
      </c>
    </row>
    <row r="1244" spans="1:15" ht="36">
      <c r="A1244" s="98">
        <f t="shared" si="20"/>
        <v>1243</v>
      </c>
      <c r="B1244" s="99" t="s">
        <v>2102</v>
      </c>
      <c r="C1244" s="83" t="s">
        <v>25</v>
      </c>
      <c r="D1244" s="83" t="s">
        <v>17</v>
      </c>
      <c r="E1244" s="84">
        <v>38120</v>
      </c>
      <c r="F1244" s="100">
        <v>20.7667</v>
      </c>
      <c r="G1244" s="83" t="s">
        <v>2100</v>
      </c>
      <c r="H1244" s="83" t="s">
        <v>2074</v>
      </c>
      <c r="I1244" s="101">
        <f>Planejamento2024[[#This Row],[Qnt de Itens]]*Planejamento2024[[#This Row],[Valor unitário]]</f>
        <v>791626.60400000005</v>
      </c>
      <c r="J1244" s="83" t="s">
        <v>20</v>
      </c>
      <c r="K1244" s="102" t="s">
        <v>415</v>
      </c>
      <c r="L1244" s="103">
        <v>45292</v>
      </c>
      <c r="M1244" s="102" t="s">
        <v>38</v>
      </c>
      <c r="N1244" s="104" t="s">
        <v>2101</v>
      </c>
      <c r="O1244" s="102" t="s">
        <v>827</v>
      </c>
    </row>
    <row r="1245" spans="1:15" ht="27">
      <c r="A1245" s="98">
        <f t="shared" si="20"/>
        <v>1244</v>
      </c>
      <c r="B1245" s="99" t="s">
        <v>2103</v>
      </c>
      <c r="C1245" s="83" t="s">
        <v>25</v>
      </c>
      <c r="D1245" s="83" t="s">
        <v>17</v>
      </c>
      <c r="E1245" s="84">
        <v>119960</v>
      </c>
      <c r="F1245" s="100">
        <v>13.6333</v>
      </c>
      <c r="G1245" s="83" t="s">
        <v>2100</v>
      </c>
      <c r="H1245" s="83" t="s">
        <v>2074</v>
      </c>
      <c r="I1245" s="101">
        <f>Planejamento2024[[#This Row],[Qnt de Itens]]*Planejamento2024[[#This Row],[Valor unitário]]</f>
        <v>1635450.6680000001</v>
      </c>
      <c r="J1245" s="83" t="s">
        <v>20</v>
      </c>
      <c r="K1245" s="102" t="s">
        <v>415</v>
      </c>
      <c r="L1245" s="103">
        <v>45292</v>
      </c>
      <c r="M1245" s="102" t="s">
        <v>38</v>
      </c>
      <c r="N1245" s="104" t="s">
        <v>2101</v>
      </c>
      <c r="O1245" s="102" t="s">
        <v>827</v>
      </c>
    </row>
    <row r="1246" spans="1:15" ht="18">
      <c r="A1246" s="98">
        <f t="shared" si="20"/>
        <v>1245</v>
      </c>
      <c r="B1246" s="99" t="s">
        <v>2104</v>
      </c>
      <c r="C1246" s="102" t="s">
        <v>25</v>
      </c>
      <c r="D1246" s="102" t="s">
        <v>17</v>
      </c>
      <c r="E1246" s="84">
        <v>357540</v>
      </c>
      <c r="F1246" s="100">
        <v>7.0667</v>
      </c>
      <c r="G1246" s="83" t="s">
        <v>2100</v>
      </c>
      <c r="H1246" s="83" t="s">
        <v>2074</v>
      </c>
      <c r="I1246" s="101">
        <f>Planejamento2024[[#This Row],[Qnt de Itens]]*Planejamento2024[[#This Row],[Valor unitário]]</f>
        <v>2526627.9180000001</v>
      </c>
      <c r="J1246" s="83" t="s">
        <v>20</v>
      </c>
      <c r="K1246" s="102" t="s">
        <v>415</v>
      </c>
      <c r="L1246" s="103">
        <v>45292</v>
      </c>
      <c r="M1246" s="102" t="s">
        <v>38</v>
      </c>
      <c r="N1246" s="104" t="s">
        <v>2101</v>
      </c>
      <c r="O1246" s="102" t="s">
        <v>827</v>
      </c>
    </row>
  </sheetData>
  <conditionalFormatting sqref="K1:K1246">
    <cfRule type="containsText" dxfId="2" priority="1" operator="containsText" text="Baixa">
      <formula>NOT(ISERROR(SEARCH("Baixa",K1)))</formula>
    </cfRule>
    <cfRule type="containsText" dxfId="1" priority="2" operator="containsText" text="Média">
      <formula>NOT(ISERROR(SEARCH("Média",K1)))</formula>
    </cfRule>
    <cfRule type="containsText" dxfId="0" priority="3" operator="containsText" text="Alta">
      <formula>NOT(ISERROR(SEARCH("Alta",K1)))</formula>
    </cfRule>
  </conditionalFormatting>
  <pageMargins left="0.511811024" right="0.511811024" top="0.78740157499999996" bottom="0.78740157499999996" header="0.31496062000000002" footer="0.31496062000000002"/>
  <legacy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8479D-7126-48D3-BA34-E5F8181D5E1F}">
  <dimension ref="A1:M21"/>
  <sheetViews>
    <sheetView workbookViewId="0">
      <selection activeCell="G5" sqref="G5"/>
    </sheetView>
  </sheetViews>
  <sheetFormatPr defaultRowHeight="15"/>
  <cols>
    <col min="2" max="2" width="25.85546875" customWidth="1"/>
    <col min="8" max="8" width="12.28515625" bestFit="1" customWidth="1"/>
  </cols>
  <sheetData>
    <row r="1" spans="1:13" ht="45">
      <c r="A1" s="105" t="s">
        <v>2105</v>
      </c>
      <c r="B1" s="105" t="s">
        <v>2106</v>
      </c>
      <c r="C1" s="105" t="s">
        <v>2107</v>
      </c>
      <c r="D1" s="106" t="s">
        <v>2108</v>
      </c>
      <c r="E1" s="105" t="s">
        <v>2109</v>
      </c>
      <c r="F1" s="106" t="s">
        <v>756</v>
      </c>
      <c r="G1" s="105" t="s">
        <v>2110</v>
      </c>
      <c r="H1" s="105" t="s">
        <v>2111</v>
      </c>
      <c r="I1" s="105" t="s">
        <v>2112</v>
      </c>
      <c r="J1" s="105" t="s">
        <v>2113</v>
      </c>
      <c r="K1" s="105" t="s">
        <v>2114</v>
      </c>
      <c r="L1" s="105" t="s">
        <v>2115</v>
      </c>
      <c r="M1" s="105" t="s">
        <v>2116</v>
      </c>
    </row>
    <row r="2" spans="1:13" ht="22.5">
      <c r="A2" s="107">
        <v>1</v>
      </c>
      <c r="B2" s="108" t="s">
        <v>2117</v>
      </c>
      <c r="C2" s="108" t="s">
        <v>801</v>
      </c>
      <c r="D2" s="108" t="s">
        <v>2118</v>
      </c>
      <c r="E2" s="109">
        <v>110</v>
      </c>
      <c r="F2" s="108" t="s">
        <v>756</v>
      </c>
      <c r="G2" s="108" t="s">
        <v>2119</v>
      </c>
      <c r="H2" s="110">
        <v>490000</v>
      </c>
      <c r="I2" s="109" t="s">
        <v>386</v>
      </c>
      <c r="J2" s="109" t="s">
        <v>2120</v>
      </c>
      <c r="K2" s="111">
        <v>45366</v>
      </c>
      <c r="L2" s="109" t="s">
        <v>386</v>
      </c>
      <c r="M2" s="108" t="s">
        <v>2121</v>
      </c>
    </row>
    <row r="3" spans="1:13" ht="22.5">
      <c r="A3" s="107">
        <v>2</v>
      </c>
      <c r="B3" s="108" t="s">
        <v>2122</v>
      </c>
      <c r="C3" s="108" t="s">
        <v>801</v>
      </c>
      <c r="D3" s="108" t="s">
        <v>2118</v>
      </c>
      <c r="E3" s="109">
        <v>110</v>
      </c>
      <c r="F3" s="108" t="s">
        <v>756</v>
      </c>
      <c r="G3" s="108" t="s">
        <v>2119</v>
      </c>
      <c r="H3" s="110">
        <v>500000</v>
      </c>
      <c r="I3" s="109" t="s">
        <v>386</v>
      </c>
      <c r="J3" s="109" t="s">
        <v>2120</v>
      </c>
      <c r="K3" s="111">
        <v>45397</v>
      </c>
      <c r="L3" s="109" t="s">
        <v>386</v>
      </c>
      <c r="M3" s="108" t="s">
        <v>2121</v>
      </c>
    </row>
    <row r="4" spans="1:13" ht="22.5">
      <c r="A4" s="107">
        <v>3</v>
      </c>
      <c r="B4" s="108" t="s">
        <v>2123</v>
      </c>
      <c r="C4" s="108" t="s">
        <v>801</v>
      </c>
      <c r="D4" s="108" t="s">
        <v>2118</v>
      </c>
      <c r="E4" s="109">
        <v>15</v>
      </c>
      <c r="F4" s="108" t="s">
        <v>756</v>
      </c>
      <c r="G4" s="108" t="s">
        <v>2119</v>
      </c>
      <c r="H4" s="110">
        <v>300000</v>
      </c>
      <c r="I4" s="109" t="s">
        <v>386</v>
      </c>
      <c r="J4" s="109" t="s">
        <v>2120</v>
      </c>
      <c r="K4" s="111">
        <v>45366</v>
      </c>
      <c r="L4" s="109" t="s">
        <v>386</v>
      </c>
      <c r="M4" s="108" t="s">
        <v>2121</v>
      </c>
    </row>
    <row r="5" spans="1:13" ht="22.5">
      <c r="A5" s="107">
        <v>4</v>
      </c>
      <c r="B5" s="108" t="s">
        <v>2124</v>
      </c>
      <c r="C5" s="108" t="s">
        <v>801</v>
      </c>
      <c r="D5" s="108" t="s">
        <v>811</v>
      </c>
      <c r="E5" s="109">
        <v>1</v>
      </c>
      <c r="F5" s="108" t="s">
        <v>756</v>
      </c>
      <c r="G5" s="108" t="s">
        <v>2125</v>
      </c>
      <c r="H5" s="110">
        <v>80000</v>
      </c>
      <c r="I5" s="109" t="s">
        <v>386</v>
      </c>
      <c r="J5" s="109" t="s">
        <v>2120</v>
      </c>
      <c r="K5" s="111">
        <v>45397</v>
      </c>
      <c r="L5" s="109" t="s">
        <v>386</v>
      </c>
      <c r="M5" s="108" t="s">
        <v>2121</v>
      </c>
    </row>
    <row r="6" spans="1:13" ht="22.5">
      <c r="A6" s="107">
        <v>5</v>
      </c>
      <c r="B6" s="108" t="s">
        <v>2126</v>
      </c>
      <c r="C6" s="108" t="s">
        <v>801</v>
      </c>
      <c r="D6" s="108" t="s">
        <v>2118</v>
      </c>
      <c r="E6" s="109">
        <v>70</v>
      </c>
      <c r="F6" s="108" t="s">
        <v>756</v>
      </c>
      <c r="G6" s="108" t="s">
        <v>2119</v>
      </c>
      <c r="H6" s="110">
        <v>160000</v>
      </c>
      <c r="I6" s="109" t="s">
        <v>386</v>
      </c>
      <c r="J6" s="109" t="s">
        <v>2127</v>
      </c>
      <c r="K6" s="111">
        <v>45397</v>
      </c>
      <c r="L6" s="109" t="s">
        <v>386</v>
      </c>
      <c r="M6" s="108" t="s">
        <v>2121</v>
      </c>
    </row>
    <row r="7" spans="1:13" ht="22.5">
      <c r="A7" s="107">
        <v>6</v>
      </c>
      <c r="B7" s="108" t="s">
        <v>2128</v>
      </c>
      <c r="C7" s="108" t="s">
        <v>801</v>
      </c>
      <c r="D7" s="108" t="s">
        <v>811</v>
      </c>
      <c r="E7" s="109">
        <v>45</v>
      </c>
      <c r="F7" s="108" t="s">
        <v>756</v>
      </c>
      <c r="G7" s="108" t="s">
        <v>575</v>
      </c>
      <c r="H7" s="110">
        <v>53000</v>
      </c>
      <c r="I7" s="109" t="s">
        <v>386</v>
      </c>
      <c r="J7" s="109" t="s">
        <v>2120</v>
      </c>
      <c r="K7" s="111">
        <v>45366</v>
      </c>
      <c r="L7" s="109" t="s">
        <v>386</v>
      </c>
      <c r="M7" s="108" t="s">
        <v>2121</v>
      </c>
    </row>
    <row r="8" spans="1:13" ht="22.5">
      <c r="A8" s="107">
        <v>7</v>
      </c>
      <c r="B8" s="108" t="s">
        <v>2129</v>
      </c>
      <c r="C8" s="108" t="s">
        <v>801</v>
      </c>
      <c r="D8" s="108" t="s">
        <v>811</v>
      </c>
      <c r="E8" s="109">
        <v>5</v>
      </c>
      <c r="F8" s="108" t="s">
        <v>756</v>
      </c>
      <c r="G8" s="108" t="s">
        <v>2130</v>
      </c>
      <c r="H8" s="110">
        <v>150000</v>
      </c>
      <c r="I8" s="109" t="s">
        <v>386</v>
      </c>
      <c r="J8" s="109" t="s">
        <v>2120</v>
      </c>
      <c r="K8" s="111">
        <v>45366</v>
      </c>
      <c r="L8" s="109" t="s">
        <v>386</v>
      </c>
      <c r="M8" s="108" t="s">
        <v>2121</v>
      </c>
    </row>
    <row r="9" spans="1:13" ht="22.5">
      <c r="A9" s="107">
        <v>8</v>
      </c>
      <c r="B9" s="108" t="s">
        <v>2131</v>
      </c>
      <c r="C9" s="108" t="s">
        <v>801</v>
      </c>
      <c r="D9" s="108" t="s">
        <v>2118</v>
      </c>
      <c r="E9" s="109">
        <v>6</v>
      </c>
      <c r="F9" s="108" t="s">
        <v>756</v>
      </c>
      <c r="G9" s="108" t="s">
        <v>2132</v>
      </c>
      <c r="H9" s="110">
        <v>10000</v>
      </c>
      <c r="I9" s="109" t="s">
        <v>386</v>
      </c>
      <c r="J9" s="109" t="s">
        <v>2127</v>
      </c>
      <c r="K9" s="111">
        <v>45366</v>
      </c>
      <c r="L9" s="109" t="s">
        <v>386</v>
      </c>
      <c r="M9" s="108" t="s">
        <v>2121</v>
      </c>
    </row>
    <row r="10" spans="1:13" ht="22.5">
      <c r="A10" s="107">
        <v>9</v>
      </c>
      <c r="B10" s="108" t="s">
        <v>2133</v>
      </c>
      <c r="C10" s="108" t="s">
        <v>2134</v>
      </c>
      <c r="D10" s="108" t="s">
        <v>811</v>
      </c>
      <c r="E10" s="109">
        <v>13</v>
      </c>
      <c r="F10" s="108" t="s">
        <v>2135</v>
      </c>
      <c r="G10" s="108" t="s">
        <v>2136</v>
      </c>
      <c r="H10" s="110">
        <v>2000000</v>
      </c>
      <c r="I10" s="109" t="s">
        <v>386</v>
      </c>
      <c r="J10" s="109" t="s">
        <v>2120</v>
      </c>
      <c r="K10" s="111">
        <v>45495</v>
      </c>
      <c r="L10" s="109" t="s">
        <v>386</v>
      </c>
      <c r="M10" s="108" t="s">
        <v>2121</v>
      </c>
    </row>
    <row r="11" spans="1:13" ht="22.5">
      <c r="A11" s="107">
        <v>10</v>
      </c>
      <c r="B11" s="108" t="s">
        <v>2137</v>
      </c>
      <c r="C11" s="108" t="s">
        <v>2134</v>
      </c>
      <c r="D11" s="108" t="s">
        <v>811</v>
      </c>
      <c r="E11" s="109">
        <v>1</v>
      </c>
      <c r="F11" s="108" t="s">
        <v>2138</v>
      </c>
      <c r="G11" s="108" t="s">
        <v>2130</v>
      </c>
      <c r="H11" s="110">
        <v>60000</v>
      </c>
      <c r="I11" s="109" t="s">
        <v>386</v>
      </c>
      <c r="J11" s="109" t="s">
        <v>2120</v>
      </c>
      <c r="K11" s="111">
        <v>45366</v>
      </c>
      <c r="L11" s="109" t="s">
        <v>386</v>
      </c>
      <c r="M11" s="108" t="s">
        <v>2121</v>
      </c>
    </row>
    <row r="12" spans="1:13" ht="22.5">
      <c r="A12" s="107">
        <v>11</v>
      </c>
      <c r="B12" s="108" t="s">
        <v>2139</v>
      </c>
      <c r="C12" s="108" t="s">
        <v>2134</v>
      </c>
      <c r="D12" s="108" t="s">
        <v>811</v>
      </c>
      <c r="E12" s="109">
        <v>30</v>
      </c>
      <c r="F12" s="108" t="s">
        <v>756</v>
      </c>
      <c r="G12" s="108" t="s">
        <v>2140</v>
      </c>
      <c r="H12" s="110">
        <v>400000</v>
      </c>
      <c r="I12" s="109" t="s">
        <v>386</v>
      </c>
      <c r="J12" s="109" t="s">
        <v>2141</v>
      </c>
      <c r="K12" s="111">
        <v>45451</v>
      </c>
      <c r="L12" s="109" t="s">
        <v>386</v>
      </c>
      <c r="M12" s="108" t="s">
        <v>2121</v>
      </c>
    </row>
    <row r="13" spans="1:13" ht="22.5">
      <c r="A13" s="107">
        <v>12</v>
      </c>
      <c r="B13" s="108" t="s">
        <v>2142</v>
      </c>
      <c r="C13" s="108" t="s">
        <v>2134</v>
      </c>
      <c r="D13" s="108" t="s">
        <v>811</v>
      </c>
      <c r="E13" s="109">
        <v>1</v>
      </c>
      <c r="F13" s="108" t="s">
        <v>2138</v>
      </c>
      <c r="G13" s="108" t="s">
        <v>2143</v>
      </c>
      <c r="H13" s="110">
        <v>28000</v>
      </c>
      <c r="I13" s="109" t="s">
        <v>386</v>
      </c>
      <c r="J13" s="109" t="s">
        <v>2120</v>
      </c>
      <c r="K13" s="111">
        <v>45366</v>
      </c>
      <c r="L13" s="109" t="s">
        <v>386</v>
      </c>
      <c r="M13" s="108" t="s">
        <v>2121</v>
      </c>
    </row>
    <row r="14" spans="1:13" ht="22.5">
      <c r="A14" s="107">
        <v>13</v>
      </c>
      <c r="B14" s="108" t="s">
        <v>2144</v>
      </c>
      <c r="C14" s="108" t="s">
        <v>2134</v>
      </c>
      <c r="D14" s="108" t="s">
        <v>811</v>
      </c>
      <c r="E14" s="109">
        <v>1</v>
      </c>
      <c r="F14" s="108" t="s">
        <v>2138</v>
      </c>
      <c r="G14" s="108" t="s">
        <v>2145</v>
      </c>
      <c r="H14" s="110">
        <v>40000</v>
      </c>
      <c r="I14" s="109" t="s">
        <v>386</v>
      </c>
      <c r="J14" s="109" t="s">
        <v>2146</v>
      </c>
      <c r="K14" s="111">
        <v>45366</v>
      </c>
      <c r="L14" s="109" t="s">
        <v>386</v>
      </c>
      <c r="M14" s="108" t="s">
        <v>2121</v>
      </c>
    </row>
    <row r="15" spans="1:13" ht="22.5">
      <c r="A15" s="107">
        <v>14</v>
      </c>
      <c r="B15" s="108" t="s">
        <v>2147</v>
      </c>
      <c r="C15" s="108" t="s">
        <v>2134</v>
      </c>
      <c r="D15" s="108" t="s">
        <v>811</v>
      </c>
      <c r="E15" s="109">
        <v>1</v>
      </c>
      <c r="F15" s="108" t="s">
        <v>2138</v>
      </c>
      <c r="G15" s="108" t="s">
        <v>2143</v>
      </c>
      <c r="H15" s="110">
        <v>21000</v>
      </c>
      <c r="I15" s="109" t="s">
        <v>386</v>
      </c>
      <c r="J15" s="109" t="s">
        <v>2120</v>
      </c>
      <c r="K15" s="111">
        <v>45366</v>
      </c>
      <c r="L15" s="109" t="s">
        <v>386</v>
      </c>
      <c r="M15" s="108" t="s">
        <v>2121</v>
      </c>
    </row>
    <row r="16" spans="1:13" ht="22.5">
      <c r="A16" s="107">
        <v>15</v>
      </c>
      <c r="B16" s="108" t="s">
        <v>2148</v>
      </c>
      <c r="C16" s="108" t="s">
        <v>2134</v>
      </c>
      <c r="D16" s="108" t="s">
        <v>2118</v>
      </c>
      <c r="E16" s="109">
        <v>1</v>
      </c>
      <c r="F16" s="108" t="s">
        <v>756</v>
      </c>
      <c r="G16" s="108" t="s">
        <v>2132</v>
      </c>
      <c r="H16" s="110">
        <v>7000</v>
      </c>
      <c r="I16" s="109" t="s">
        <v>386</v>
      </c>
      <c r="J16" s="109" t="s">
        <v>2127</v>
      </c>
      <c r="K16" s="111">
        <v>45366</v>
      </c>
      <c r="L16" s="109" t="s">
        <v>386</v>
      </c>
      <c r="M16" s="108" t="s">
        <v>2121</v>
      </c>
    </row>
    <row r="17" spans="1:13" ht="22.5">
      <c r="A17" s="107">
        <v>16</v>
      </c>
      <c r="B17" s="108" t="s">
        <v>2149</v>
      </c>
      <c r="C17" s="108" t="s">
        <v>2134</v>
      </c>
      <c r="D17" s="108" t="s">
        <v>811</v>
      </c>
      <c r="E17" s="109">
        <v>3</v>
      </c>
      <c r="F17" s="108" t="s">
        <v>756</v>
      </c>
      <c r="G17" s="108" t="s">
        <v>2125</v>
      </c>
      <c r="H17" s="110">
        <v>160000</v>
      </c>
      <c r="I17" s="109" t="s">
        <v>386</v>
      </c>
      <c r="J17" s="109" t="s">
        <v>2120</v>
      </c>
      <c r="K17" s="111">
        <v>45458</v>
      </c>
      <c r="L17" s="109" t="s">
        <v>386</v>
      </c>
      <c r="M17" s="108" t="s">
        <v>2121</v>
      </c>
    </row>
    <row r="18" spans="1:13" ht="22.5">
      <c r="A18" s="107">
        <v>17</v>
      </c>
      <c r="B18" s="108" t="s">
        <v>2150</v>
      </c>
      <c r="C18" s="108" t="s">
        <v>2134</v>
      </c>
      <c r="D18" s="108" t="s">
        <v>811</v>
      </c>
      <c r="E18" s="109">
        <v>1</v>
      </c>
      <c r="F18" s="108" t="s">
        <v>756</v>
      </c>
      <c r="G18" s="108" t="s">
        <v>2151</v>
      </c>
      <c r="H18" s="110">
        <v>30000</v>
      </c>
      <c r="I18" s="109" t="s">
        <v>386</v>
      </c>
      <c r="J18" s="109" t="s">
        <v>2127</v>
      </c>
      <c r="K18" s="111">
        <v>45366</v>
      </c>
      <c r="L18" s="109" t="s">
        <v>386</v>
      </c>
      <c r="M18" s="108" t="s">
        <v>2121</v>
      </c>
    </row>
    <row r="19" spans="1:13" ht="22.5">
      <c r="A19" s="107">
        <v>18</v>
      </c>
      <c r="B19" s="108" t="s">
        <v>2152</v>
      </c>
      <c r="C19" s="108" t="s">
        <v>2134</v>
      </c>
      <c r="D19" s="108" t="s">
        <v>811</v>
      </c>
      <c r="E19" s="109">
        <v>1</v>
      </c>
      <c r="F19" s="108" t="s">
        <v>2135</v>
      </c>
      <c r="G19" s="108" t="s">
        <v>2153</v>
      </c>
      <c r="H19" s="110">
        <v>60000</v>
      </c>
      <c r="I19" s="109" t="s">
        <v>386</v>
      </c>
      <c r="J19" s="109" t="s">
        <v>2127</v>
      </c>
      <c r="K19" s="111">
        <v>45366</v>
      </c>
      <c r="L19" s="109" t="s">
        <v>386</v>
      </c>
      <c r="M19" s="108" t="s">
        <v>2121</v>
      </c>
    </row>
    <row r="20" spans="1:13" ht="22.5">
      <c r="A20" s="107">
        <v>19</v>
      </c>
      <c r="B20" s="108" t="s">
        <v>2154</v>
      </c>
      <c r="C20" s="108" t="s">
        <v>2134</v>
      </c>
      <c r="D20" s="108" t="s">
        <v>811</v>
      </c>
      <c r="E20" s="109">
        <v>10</v>
      </c>
      <c r="F20" s="108" t="s">
        <v>756</v>
      </c>
      <c r="G20" s="108" t="s">
        <v>2140</v>
      </c>
      <c r="H20" s="110">
        <v>22000</v>
      </c>
      <c r="I20" s="109" t="s">
        <v>386</v>
      </c>
      <c r="J20" s="109" t="s">
        <v>2127</v>
      </c>
      <c r="K20" s="111">
        <v>45366</v>
      </c>
      <c r="L20" s="109" t="s">
        <v>386</v>
      </c>
      <c r="M20" s="108" t="s">
        <v>2121</v>
      </c>
    </row>
    <row r="21" spans="1:13" ht="22.5">
      <c r="A21" s="107">
        <v>20</v>
      </c>
      <c r="B21" s="108" t="s">
        <v>2155</v>
      </c>
      <c r="C21" s="108" t="s">
        <v>2134</v>
      </c>
      <c r="D21" s="108" t="s">
        <v>811</v>
      </c>
      <c r="E21" s="109">
        <v>1</v>
      </c>
      <c r="F21" s="108" t="s">
        <v>756</v>
      </c>
      <c r="G21" s="108" t="s">
        <v>2140</v>
      </c>
      <c r="H21" s="110">
        <v>440000</v>
      </c>
      <c r="I21" s="109" t="s">
        <v>386</v>
      </c>
      <c r="J21" s="109" t="s">
        <v>579</v>
      </c>
      <c r="K21" s="111">
        <v>45366</v>
      </c>
      <c r="L21" s="109" t="s">
        <v>386</v>
      </c>
      <c r="M21" s="108" t="s">
        <v>2121</v>
      </c>
    </row>
  </sheetData>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41F59-3704-442B-B088-9DDE38E564D5}">
  <dimension ref="A1:N83"/>
  <sheetViews>
    <sheetView workbookViewId="0">
      <selection activeCell="G2" sqref="G2"/>
    </sheetView>
  </sheetViews>
  <sheetFormatPr defaultRowHeight="15"/>
  <cols>
    <col min="2" max="2" width="45.42578125" customWidth="1"/>
    <col min="8" max="8" width="15" customWidth="1"/>
    <col min="9" max="9" width="18.5703125" customWidth="1"/>
    <col min="12" max="12" width="10.7109375" bestFit="1" customWidth="1"/>
  </cols>
  <sheetData>
    <row r="1" spans="1:14" ht="94.5">
      <c r="A1" s="112" t="s">
        <v>2156</v>
      </c>
      <c r="B1" s="112" t="s">
        <v>409</v>
      </c>
      <c r="C1" s="112" t="s">
        <v>410</v>
      </c>
      <c r="D1" s="112" t="s">
        <v>1</v>
      </c>
      <c r="E1" s="112" t="s">
        <v>2157</v>
      </c>
      <c r="F1" s="112" t="s">
        <v>8</v>
      </c>
      <c r="G1" s="112" t="s">
        <v>412</v>
      </c>
      <c r="H1" s="113" t="s">
        <v>2158</v>
      </c>
      <c r="I1" s="113" t="s">
        <v>3</v>
      </c>
      <c r="J1" s="112" t="s">
        <v>2159</v>
      </c>
      <c r="K1" s="112" t="s">
        <v>5</v>
      </c>
      <c r="L1" s="112" t="s">
        <v>413</v>
      </c>
      <c r="M1" s="112" t="s">
        <v>2160</v>
      </c>
      <c r="N1" s="112" t="s">
        <v>12</v>
      </c>
    </row>
    <row r="2" spans="1:14" ht="45">
      <c r="A2" s="114">
        <v>1</v>
      </c>
      <c r="B2" s="115" t="s">
        <v>2161</v>
      </c>
      <c r="C2" s="114" t="s">
        <v>34</v>
      </c>
      <c r="D2" s="114" t="s">
        <v>168</v>
      </c>
      <c r="E2" s="114">
        <v>20</v>
      </c>
      <c r="F2" s="114" t="s">
        <v>8</v>
      </c>
      <c r="G2" s="114" t="s">
        <v>2162</v>
      </c>
      <c r="H2" s="116">
        <v>2400</v>
      </c>
      <c r="I2" s="116">
        <f t="shared" ref="I2:I28" si="0">E2*H2</f>
        <v>48000</v>
      </c>
      <c r="J2" s="114" t="s">
        <v>20</v>
      </c>
      <c r="K2" s="114" t="s">
        <v>21</v>
      </c>
      <c r="L2" s="117">
        <v>45292</v>
      </c>
      <c r="M2" s="114" t="s">
        <v>20</v>
      </c>
      <c r="N2" s="114" t="s">
        <v>2163</v>
      </c>
    </row>
    <row r="3" spans="1:14">
      <c r="A3" s="114">
        <v>2</v>
      </c>
      <c r="B3" s="115" t="s">
        <v>1116</v>
      </c>
      <c r="C3" s="114" t="s">
        <v>34</v>
      </c>
      <c r="D3" s="114" t="s">
        <v>35</v>
      </c>
      <c r="E3" s="114">
        <v>190</v>
      </c>
      <c r="F3" s="114" t="s">
        <v>2164</v>
      </c>
      <c r="G3" s="114" t="s">
        <v>2165</v>
      </c>
      <c r="H3" s="116">
        <v>12.5</v>
      </c>
      <c r="I3" s="116">
        <f t="shared" si="0"/>
        <v>2375</v>
      </c>
      <c r="J3" s="114" t="s">
        <v>20</v>
      </c>
      <c r="K3" s="114" t="s">
        <v>169</v>
      </c>
      <c r="L3" s="117">
        <v>45292</v>
      </c>
      <c r="M3" s="114" t="s">
        <v>20</v>
      </c>
      <c r="N3" s="114" t="s">
        <v>2163</v>
      </c>
    </row>
    <row r="4" spans="1:14">
      <c r="A4" s="114">
        <v>3</v>
      </c>
      <c r="B4" s="115" t="s">
        <v>2166</v>
      </c>
      <c r="C4" s="114" t="s">
        <v>34</v>
      </c>
      <c r="D4" s="114" t="s">
        <v>35</v>
      </c>
      <c r="E4" s="114">
        <v>950</v>
      </c>
      <c r="F4" s="114" t="s">
        <v>2167</v>
      </c>
      <c r="G4" s="114" t="s">
        <v>2165</v>
      </c>
      <c r="H4" s="118">
        <v>32.9</v>
      </c>
      <c r="I4" s="116">
        <f t="shared" si="0"/>
        <v>31255</v>
      </c>
      <c r="J4" s="114" t="s">
        <v>20</v>
      </c>
      <c r="K4" s="114" t="s">
        <v>21</v>
      </c>
      <c r="L4" s="117">
        <v>45292</v>
      </c>
      <c r="M4" s="114" t="s">
        <v>20</v>
      </c>
      <c r="N4" s="114" t="s">
        <v>2163</v>
      </c>
    </row>
    <row r="5" spans="1:14">
      <c r="A5" s="114">
        <v>4</v>
      </c>
      <c r="B5" s="119" t="s">
        <v>2168</v>
      </c>
      <c r="C5" s="114" t="s">
        <v>34</v>
      </c>
      <c r="D5" s="114" t="s">
        <v>168</v>
      </c>
      <c r="E5" s="114">
        <v>22</v>
      </c>
      <c r="F5" s="114" t="s">
        <v>8</v>
      </c>
      <c r="G5" s="114" t="s">
        <v>2169</v>
      </c>
      <c r="H5" s="116">
        <v>800</v>
      </c>
      <c r="I5" s="116">
        <f t="shared" si="0"/>
        <v>17600</v>
      </c>
      <c r="J5" s="114" t="s">
        <v>20</v>
      </c>
      <c r="K5" s="114" t="s">
        <v>21</v>
      </c>
      <c r="L5" s="117">
        <v>45292</v>
      </c>
      <c r="M5" s="114" t="s">
        <v>20</v>
      </c>
      <c r="N5" s="114" t="s">
        <v>2163</v>
      </c>
    </row>
    <row r="6" spans="1:14">
      <c r="A6" s="114">
        <v>5</v>
      </c>
      <c r="B6" s="115" t="s">
        <v>2170</v>
      </c>
      <c r="C6" s="114" t="s">
        <v>34</v>
      </c>
      <c r="D6" s="114" t="s">
        <v>35</v>
      </c>
      <c r="E6" s="114">
        <v>600</v>
      </c>
      <c r="F6" s="114" t="s">
        <v>8</v>
      </c>
      <c r="G6" s="114" t="s">
        <v>2165</v>
      </c>
      <c r="H6" s="116">
        <v>1.2</v>
      </c>
      <c r="I6" s="116">
        <f t="shared" si="0"/>
        <v>720</v>
      </c>
      <c r="J6" s="114" t="s">
        <v>20</v>
      </c>
      <c r="K6" s="114" t="s">
        <v>169</v>
      </c>
      <c r="L6" s="117">
        <v>45292</v>
      </c>
      <c r="M6" s="114" t="s">
        <v>20</v>
      </c>
      <c r="N6" s="114" t="s">
        <v>2163</v>
      </c>
    </row>
    <row r="7" spans="1:14">
      <c r="A7" s="114">
        <v>6</v>
      </c>
      <c r="B7" s="115" t="s">
        <v>2171</v>
      </c>
      <c r="C7" s="114" t="s">
        <v>34</v>
      </c>
      <c r="D7" s="114" t="s">
        <v>168</v>
      </c>
      <c r="E7" s="114">
        <v>7</v>
      </c>
      <c r="F7" s="114" t="s">
        <v>8</v>
      </c>
      <c r="G7" s="114" t="s">
        <v>2162</v>
      </c>
      <c r="H7" s="116">
        <v>530</v>
      </c>
      <c r="I7" s="116">
        <f t="shared" si="0"/>
        <v>3710</v>
      </c>
      <c r="J7" s="114" t="s">
        <v>20</v>
      </c>
      <c r="K7" s="114" t="s">
        <v>36</v>
      </c>
      <c r="L7" s="117">
        <v>45444</v>
      </c>
      <c r="M7" s="114" t="s">
        <v>20</v>
      </c>
      <c r="N7" s="114" t="s">
        <v>2163</v>
      </c>
    </row>
    <row r="8" spans="1:14">
      <c r="A8" s="114">
        <v>7</v>
      </c>
      <c r="B8" s="115" t="s">
        <v>2172</v>
      </c>
      <c r="C8" s="114" t="s">
        <v>34</v>
      </c>
      <c r="D8" s="114" t="s">
        <v>35</v>
      </c>
      <c r="E8" s="114">
        <v>40</v>
      </c>
      <c r="F8" s="114" t="s">
        <v>8</v>
      </c>
      <c r="G8" s="114" t="s">
        <v>2165</v>
      </c>
      <c r="H8" s="116">
        <v>5.7</v>
      </c>
      <c r="I8" s="116">
        <f t="shared" si="0"/>
        <v>228</v>
      </c>
      <c r="J8" s="114" t="s">
        <v>20</v>
      </c>
      <c r="K8" s="114" t="s">
        <v>36</v>
      </c>
      <c r="L8" s="117">
        <v>45292</v>
      </c>
      <c r="M8" s="114" t="s">
        <v>20</v>
      </c>
      <c r="N8" s="114" t="s">
        <v>2163</v>
      </c>
    </row>
    <row r="9" spans="1:14">
      <c r="A9" s="114">
        <v>8</v>
      </c>
      <c r="B9" s="115" t="s">
        <v>2173</v>
      </c>
      <c r="C9" s="114" t="s">
        <v>34</v>
      </c>
      <c r="D9" s="114" t="s">
        <v>35</v>
      </c>
      <c r="E9" s="114">
        <v>60</v>
      </c>
      <c r="F9" s="114" t="s">
        <v>8</v>
      </c>
      <c r="G9" s="114" t="s">
        <v>2165</v>
      </c>
      <c r="H9" s="120">
        <v>2.4</v>
      </c>
      <c r="I9" s="116">
        <f t="shared" si="0"/>
        <v>144</v>
      </c>
      <c r="J9" s="114" t="s">
        <v>20</v>
      </c>
      <c r="K9" s="114" t="s">
        <v>36</v>
      </c>
      <c r="L9" s="117">
        <v>45292</v>
      </c>
      <c r="M9" s="114" t="s">
        <v>20</v>
      </c>
      <c r="N9" s="114" t="s">
        <v>2163</v>
      </c>
    </row>
    <row r="10" spans="1:14">
      <c r="A10" s="114">
        <v>9</v>
      </c>
      <c r="B10" s="115" t="s">
        <v>707</v>
      </c>
      <c r="C10" s="114" t="s">
        <v>34</v>
      </c>
      <c r="D10" s="114" t="s">
        <v>35</v>
      </c>
      <c r="E10" s="114">
        <v>50</v>
      </c>
      <c r="F10" s="114" t="s">
        <v>679</v>
      </c>
      <c r="G10" s="114" t="s">
        <v>2165</v>
      </c>
      <c r="H10" s="116">
        <v>22.9</v>
      </c>
      <c r="I10" s="116">
        <f t="shared" si="0"/>
        <v>1145</v>
      </c>
      <c r="J10" s="114" t="s">
        <v>20</v>
      </c>
      <c r="K10" s="114" t="s">
        <v>36</v>
      </c>
      <c r="L10" s="117">
        <v>45292</v>
      </c>
      <c r="M10" s="114" t="s">
        <v>20</v>
      </c>
      <c r="N10" s="114" t="s">
        <v>2163</v>
      </c>
    </row>
    <row r="11" spans="1:14">
      <c r="A11" s="114">
        <v>10</v>
      </c>
      <c r="B11" s="115" t="s">
        <v>2174</v>
      </c>
      <c r="C11" s="114" t="s">
        <v>34</v>
      </c>
      <c r="D11" s="114" t="s">
        <v>35</v>
      </c>
      <c r="E11" s="114">
        <v>100</v>
      </c>
      <c r="F11" s="114" t="s">
        <v>679</v>
      </c>
      <c r="G11" s="114" t="s">
        <v>2165</v>
      </c>
      <c r="H11" s="116">
        <v>10.5</v>
      </c>
      <c r="I11" s="116">
        <f t="shared" si="0"/>
        <v>1050</v>
      </c>
      <c r="J11" s="114" t="s">
        <v>20</v>
      </c>
      <c r="K11" s="114" t="s">
        <v>36</v>
      </c>
      <c r="L11" s="117">
        <v>45292</v>
      </c>
      <c r="M11" s="114" t="s">
        <v>20</v>
      </c>
      <c r="N11" s="114" t="s">
        <v>2163</v>
      </c>
    </row>
    <row r="12" spans="1:14">
      <c r="A12" s="114">
        <v>11</v>
      </c>
      <c r="B12" s="115" t="s">
        <v>2175</v>
      </c>
      <c r="C12" s="114" t="s">
        <v>34</v>
      </c>
      <c r="D12" s="114" t="s">
        <v>35</v>
      </c>
      <c r="E12" s="114">
        <v>30</v>
      </c>
      <c r="F12" s="114" t="s">
        <v>679</v>
      </c>
      <c r="G12" s="114" t="s">
        <v>2165</v>
      </c>
      <c r="H12" s="118">
        <v>8</v>
      </c>
      <c r="I12" s="116">
        <f t="shared" si="0"/>
        <v>240</v>
      </c>
      <c r="J12" s="114" t="s">
        <v>20</v>
      </c>
      <c r="K12" s="114" t="s">
        <v>36</v>
      </c>
      <c r="L12" s="117">
        <v>45292</v>
      </c>
      <c r="M12" s="114" t="s">
        <v>20</v>
      </c>
      <c r="N12" s="114" t="s">
        <v>2163</v>
      </c>
    </row>
    <row r="13" spans="1:14">
      <c r="A13" s="114">
        <v>12</v>
      </c>
      <c r="B13" s="115" t="s">
        <v>2176</v>
      </c>
      <c r="C13" s="114" t="s">
        <v>34</v>
      </c>
      <c r="D13" s="114" t="s">
        <v>35</v>
      </c>
      <c r="E13" s="114">
        <v>5</v>
      </c>
      <c r="F13" s="114" t="s">
        <v>8</v>
      </c>
      <c r="G13" s="114" t="s">
        <v>2165</v>
      </c>
      <c r="H13" s="121">
        <v>140</v>
      </c>
      <c r="I13" s="116">
        <f t="shared" si="0"/>
        <v>700</v>
      </c>
      <c r="J13" s="114" t="s">
        <v>20</v>
      </c>
      <c r="K13" s="114" t="s">
        <v>36</v>
      </c>
      <c r="L13" s="117">
        <v>45292</v>
      </c>
      <c r="M13" s="114" t="s">
        <v>20</v>
      </c>
      <c r="N13" s="114" t="s">
        <v>2163</v>
      </c>
    </row>
    <row r="14" spans="1:14">
      <c r="A14" s="114">
        <v>13</v>
      </c>
      <c r="B14" s="115" t="s">
        <v>2177</v>
      </c>
      <c r="C14" s="114" t="s">
        <v>34</v>
      </c>
      <c r="D14" s="114" t="s">
        <v>35</v>
      </c>
      <c r="E14" s="114">
        <v>35</v>
      </c>
      <c r="F14" s="114" t="s">
        <v>8</v>
      </c>
      <c r="G14" s="114" t="s">
        <v>2165</v>
      </c>
      <c r="H14" s="118">
        <v>33</v>
      </c>
      <c r="I14" s="116">
        <f t="shared" si="0"/>
        <v>1155</v>
      </c>
      <c r="J14" s="114" t="s">
        <v>20</v>
      </c>
      <c r="K14" s="114" t="s">
        <v>36</v>
      </c>
      <c r="L14" s="117">
        <v>45292</v>
      </c>
      <c r="M14" s="114" t="s">
        <v>20</v>
      </c>
      <c r="N14" s="114" t="s">
        <v>2163</v>
      </c>
    </row>
    <row r="15" spans="1:14">
      <c r="A15" s="114">
        <v>14</v>
      </c>
      <c r="B15" s="115" t="s">
        <v>2178</v>
      </c>
      <c r="C15" s="114" t="s">
        <v>34</v>
      </c>
      <c r="D15" s="114" t="s">
        <v>35</v>
      </c>
      <c r="E15" s="114">
        <v>10</v>
      </c>
      <c r="F15" s="114" t="s">
        <v>8</v>
      </c>
      <c r="G15" s="114" t="s">
        <v>2165</v>
      </c>
      <c r="H15" s="118">
        <v>126</v>
      </c>
      <c r="I15" s="116">
        <f t="shared" si="0"/>
        <v>1260</v>
      </c>
      <c r="J15" s="114" t="s">
        <v>20</v>
      </c>
      <c r="K15" s="114" t="s">
        <v>36</v>
      </c>
      <c r="L15" s="117">
        <v>45292</v>
      </c>
      <c r="M15" s="114" t="s">
        <v>20</v>
      </c>
      <c r="N15" s="114" t="s">
        <v>2163</v>
      </c>
    </row>
    <row r="16" spans="1:14">
      <c r="A16" s="114">
        <v>15</v>
      </c>
      <c r="B16" s="115" t="s">
        <v>2179</v>
      </c>
      <c r="C16" s="114" t="s">
        <v>34</v>
      </c>
      <c r="D16" s="114" t="s">
        <v>35</v>
      </c>
      <c r="E16" s="114">
        <v>200</v>
      </c>
      <c r="F16" s="114" t="s">
        <v>8</v>
      </c>
      <c r="G16" s="114" t="s">
        <v>2165</v>
      </c>
      <c r="H16" s="116">
        <v>1</v>
      </c>
      <c r="I16" s="116">
        <f t="shared" si="0"/>
        <v>200</v>
      </c>
      <c r="J16" s="114" t="s">
        <v>20</v>
      </c>
      <c r="K16" s="114" t="s">
        <v>36</v>
      </c>
      <c r="L16" s="117">
        <v>45292</v>
      </c>
      <c r="M16" s="114" t="s">
        <v>20</v>
      </c>
      <c r="N16" s="114" t="s">
        <v>2163</v>
      </c>
    </row>
    <row r="17" spans="1:14">
      <c r="A17" s="114">
        <v>16</v>
      </c>
      <c r="B17" s="115" t="s">
        <v>2180</v>
      </c>
      <c r="C17" s="114" t="s">
        <v>34</v>
      </c>
      <c r="D17" s="114" t="s">
        <v>35</v>
      </c>
      <c r="E17" s="114">
        <v>70</v>
      </c>
      <c r="F17" s="114" t="s">
        <v>8</v>
      </c>
      <c r="G17" s="114" t="s">
        <v>2165</v>
      </c>
      <c r="H17" s="116">
        <v>3.6</v>
      </c>
      <c r="I17" s="116">
        <f t="shared" si="0"/>
        <v>252</v>
      </c>
      <c r="J17" s="114" t="s">
        <v>20</v>
      </c>
      <c r="K17" s="114" t="s">
        <v>36</v>
      </c>
      <c r="L17" s="117">
        <v>45292</v>
      </c>
      <c r="M17" s="114" t="s">
        <v>20</v>
      </c>
      <c r="N17" s="114" t="s">
        <v>2163</v>
      </c>
    </row>
    <row r="18" spans="1:14">
      <c r="A18" s="114">
        <v>17</v>
      </c>
      <c r="B18" s="115" t="s">
        <v>2181</v>
      </c>
      <c r="C18" s="114" t="s">
        <v>34</v>
      </c>
      <c r="D18" s="114" t="s">
        <v>35</v>
      </c>
      <c r="E18" s="114">
        <v>15</v>
      </c>
      <c r="F18" s="114" t="s">
        <v>8</v>
      </c>
      <c r="G18" s="114" t="s">
        <v>2165</v>
      </c>
      <c r="H18" s="116">
        <v>8</v>
      </c>
      <c r="I18" s="116">
        <f t="shared" si="0"/>
        <v>120</v>
      </c>
      <c r="J18" s="114" t="s">
        <v>20</v>
      </c>
      <c r="K18" s="114" t="s">
        <v>36</v>
      </c>
      <c r="L18" s="117">
        <v>45292</v>
      </c>
      <c r="M18" s="114" t="s">
        <v>20</v>
      </c>
      <c r="N18" s="114" t="s">
        <v>2163</v>
      </c>
    </row>
    <row r="19" spans="1:14">
      <c r="A19" s="114">
        <v>18</v>
      </c>
      <c r="B19" s="115" t="s">
        <v>109</v>
      </c>
      <c r="C19" s="114" t="s">
        <v>34</v>
      </c>
      <c r="D19" s="114" t="s">
        <v>35</v>
      </c>
      <c r="E19" s="114">
        <v>20</v>
      </c>
      <c r="F19" s="114" t="s">
        <v>8</v>
      </c>
      <c r="G19" s="114" t="s">
        <v>2165</v>
      </c>
      <c r="H19" s="116">
        <v>18</v>
      </c>
      <c r="I19" s="116">
        <f t="shared" si="0"/>
        <v>360</v>
      </c>
      <c r="J19" s="114" t="s">
        <v>20</v>
      </c>
      <c r="K19" s="114" t="s">
        <v>36</v>
      </c>
      <c r="L19" s="117">
        <v>45292</v>
      </c>
      <c r="M19" s="114" t="s">
        <v>20</v>
      </c>
      <c r="N19" s="114" t="s">
        <v>2163</v>
      </c>
    </row>
    <row r="20" spans="1:14">
      <c r="A20" s="114">
        <v>19</v>
      </c>
      <c r="B20" s="115" t="s">
        <v>2182</v>
      </c>
      <c r="C20" s="114" t="s">
        <v>34</v>
      </c>
      <c r="D20" s="114" t="s">
        <v>35</v>
      </c>
      <c r="E20" s="114">
        <v>120</v>
      </c>
      <c r="F20" s="114" t="s">
        <v>679</v>
      </c>
      <c r="G20" s="114" t="s">
        <v>2165</v>
      </c>
      <c r="H20" s="118">
        <v>3.36</v>
      </c>
      <c r="I20" s="116">
        <f t="shared" si="0"/>
        <v>403.2</v>
      </c>
      <c r="J20" s="114" t="s">
        <v>20</v>
      </c>
      <c r="K20" s="114" t="s">
        <v>36</v>
      </c>
      <c r="L20" s="117">
        <v>45292</v>
      </c>
      <c r="M20" s="114" t="s">
        <v>20</v>
      </c>
      <c r="N20" s="114" t="s">
        <v>2163</v>
      </c>
    </row>
    <row r="21" spans="1:14">
      <c r="A21" s="114">
        <v>20</v>
      </c>
      <c r="B21" s="115" t="s">
        <v>2183</v>
      </c>
      <c r="C21" s="114" t="s">
        <v>34</v>
      </c>
      <c r="D21" s="114" t="s">
        <v>35</v>
      </c>
      <c r="E21" s="114">
        <v>70</v>
      </c>
      <c r="F21" s="114" t="s">
        <v>679</v>
      </c>
      <c r="G21" s="114" t="s">
        <v>2165</v>
      </c>
      <c r="H21" s="118">
        <v>15.75</v>
      </c>
      <c r="I21" s="116">
        <f t="shared" si="0"/>
        <v>1102.5</v>
      </c>
      <c r="J21" s="114" t="s">
        <v>20</v>
      </c>
      <c r="K21" s="114" t="s">
        <v>36</v>
      </c>
      <c r="L21" s="117">
        <v>45292</v>
      </c>
      <c r="M21" s="114" t="s">
        <v>20</v>
      </c>
      <c r="N21" s="114" t="s">
        <v>2163</v>
      </c>
    </row>
    <row r="22" spans="1:14">
      <c r="A22" s="114">
        <v>21</v>
      </c>
      <c r="B22" s="115" t="s">
        <v>2184</v>
      </c>
      <c r="C22" s="114" t="s">
        <v>34</v>
      </c>
      <c r="D22" s="114" t="s">
        <v>35</v>
      </c>
      <c r="E22" s="114">
        <v>20</v>
      </c>
      <c r="F22" s="114" t="s">
        <v>679</v>
      </c>
      <c r="G22" s="114" t="s">
        <v>2165</v>
      </c>
      <c r="H22" s="118">
        <v>4.62</v>
      </c>
      <c r="I22" s="116">
        <f t="shared" si="0"/>
        <v>92.4</v>
      </c>
      <c r="J22" s="114" t="s">
        <v>20</v>
      </c>
      <c r="K22" s="114" t="s">
        <v>36</v>
      </c>
      <c r="L22" s="117">
        <v>45292</v>
      </c>
      <c r="M22" s="114" t="s">
        <v>20</v>
      </c>
      <c r="N22" s="114" t="s">
        <v>2163</v>
      </c>
    </row>
    <row r="23" spans="1:14" ht="30">
      <c r="A23" s="114">
        <v>22</v>
      </c>
      <c r="B23" s="115" t="s">
        <v>2185</v>
      </c>
      <c r="C23" s="114" t="s">
        <v>34</v>
      </c>
      <c r="D23" s="114" t="s">
        <v>35</v>
      </c>
      <c r="E23" s="114">
        <v>340</v>
      </c>
      <c r="F23" s="114" t="s">
        <v>8</v>
      </c>
      <c r="G23" s="114" t="s">
        <v>2165</v>
      </c>
      <c r="H23" s="118">
        <v>10.45</v>
      </c>
      <c r="I23" s="116">
        <f t="shared" si="0"/>
        <v>3552.9999999999995</v>
      </c>
      <c r="J23" s="114" t="s">
        <v>20</v>
      </c>
      <c r="K23" s="114" t="s">
        <v>169</v>
      </c>
      <c r="L23" s="117">
        <v>45292</v>
      </c>
      <c r="M23" s="114" t="s">
        <v>20</v>
      </c>
      <c r="N23" s="114" t="s">
        <v>2163</v>
      </c>
    </row>
    <row r="24" spans="1:14" ht="30">
      <c r="A24" s="114">
        <v>23</v>
      </c>
      <c r="B24" s="119" t="s">
        <v>2186</v>
      </c>
      <c r="C24" s="114" t="s">
        <v>34</v>
      </c>
      <c r="D24" s="114" t="s">
        <v>168</v>
      </c>
      <c r="E24" s="114">
        <v>2</v>
      </c>
      <c r="F24" s="114" t="s">
        <v>8</v>
      </c>
      <c r="G24" s="114" t="s">
        <v>2169</v>
      </c>
      <c r="H24" s="116">
        <v>650</v>
      </c>
      <c r="I24" s="116">
        <f t="shared" si="0"/>
        <v>1300</v>
      </c>
      <c r="J24" s="114" t="s">
        <v>20</v>
      </c>
      <c r="K24" s="114" t="s">
        <v>169</v>
      </c>
      <c r="L24" s="117">
        <v>45352</v>
      </c>
      <c r="M24" s="114" t="s">
        <v>20</v>
      </c>
      <c r="N24" s="114" t="s">
        <v>2163</v>
      </c>
    </row>
    <row r="25" spans="1:14">
      <c r="A25" s="114">
        <v>24</v>
      </c>
      <c r="B25" s="115" t="s">
        <v>2187</v>
      </c>
      <c r="C25" s="114" t="s">
        <v>34</v>
      </c>
      <c r="D25" s="114" t="s">
        <v>35</v>
      </c>
      <c r="E25" s="114">
        <v>75</v>
      </c>
      <c r="F25" s="114" t="s">
        <v>2164</v>
      </c>
      <c r="G25" s="114" t="s">
        <v>2188</v>
      </c>
      <c r="H25" s="116">
        <v>15</v>
      </c>
      <c r="I25" s="116">
        <f t="shared" si="0"/>
        <v>1125</v>
      </c>
      <c r="J25" s="114" t="s">
        <v>20</v>
      </c>
      <c r="K25" s="114" t="s">
        <v>36</v>
      </c>
      <c r="L25" s="117">
        <v>45292</v>
      </c>
      <c r="M25" s="114" t="s">
        <v>20</v>
      </c>
      <c r="N25" s="114" t="s">
        <v>2163</v>
      </c>
    </row>
    <row r="26" spans="1:14">
      <c r="A26" s="114">
        <v>25</v>
      </c>
      <c r="B26" s="115" t="s">
        <v>2189</v>
      </c>
      <c r="C26" s="114" t="s">
        <v>34</v>
      </c>
      <c r="D26" s="114" t="s">
        <v>35</v>
      </c>
      <c r="E26" s="114">
        <v>320</v>
      </c>
      <c r="F26" s="114" t="s">
        <v>8</v>
      </c>
      <c r="G26" s="114" t="s">
        <v>2165</v>
      </c>
      <c r="H26" s="116">
        <v>1.8</v>
      </c>
      <c r="I26" s="116">
        <f t="shared" si="0"/>
        <v>576</v>
      </c>
      <c r="J26" s="114" t="s">
        <v>20</v>
      </c>
      <c r="K26" s="114" t="s">
        <v>36</v>
      </c>
      <c r="L26" s="117">
        <v>45292</v>
      </c>
      <c r="M26" s="114" t="s">
        <v>20</v>
      </c>
      <c r="N26" s="114" t="s">
        <v>2163</v>
      </c>
    </row>
    <row r="27" spans="1:14">
      <c r="A27" s="114">
        <v>26</v>
      </c>
      <c r="B27" s="119" t="s">
        <v>2190</v>
      </c>
      <c r="C27" s="114" t="s">
        <v>34</v>
      </c>
      <c r="D27" s="114" t="s">
        <v>168</v>
      </c>
      <c r="E27" s="114">
        <v>13</v>
      </c>
      <c r="F27" s="114" t="s">
        <v>8</v>
      </c>
      <c r="G27" s="114" t="s">
        <v>2169</v>
      </c>
      <c r="H27" s="116">
        <v>189.9</v>
      </c>
      <c r="I27" s="116">
        <f t="shared" si="0"/>
        <v>2468.7000000000003</v>
      </c>
      <c r="J27" s="114" t="s">
        <v>20</v>
      </c>
      <c r="K27" s="114" t="s">
        <v>36</v>
      </c>
      <c r="L27" s="117">
        <v>45383</v>
      </c>
      <c r="M27" s="114" t="s">
        <v>20</v>
      </c>
      <c r="N27" s="114" t="s">
        <v>2163</v>
      </c>
    </row>
    <row r="28" spans="1:14">
      <c r="A28" s="114">
        <v>27</v>
      </c>
      <c r="B28" s="115" t="s">
        <v>2191</v>
      </c>
      <c r="C28" s="114" t="s">
        <v>34</v>
      </c>
      <c r="D28" s="114" t="s">
        <v>35</v>
      </c>
      <c r="E28" s="114">
        <v>1</v>
      </c>
      <c r="F28" s="114" t="s">
        <v>8</v>
      </c>
      <c r="G28" s="114" t="s">
        <v>2169</v>
      </c>
      <c r="H28" s="116">
        <v>100</v>
      </c>
      <c r="I28" s="116">
        <f t="shared" si="0"/>
        <v>100</v>
      </c>
      <c r="J28" s="114" t="s">
        <v>20</v>
      </c>
      <c r="K28" s="114" t="s">
        <v>169</v>
      </c>
      <c r="L28" s="117">
        <v>45292</v>
      </c>
      <c r="M28" s="114" t="s">
        <v>20</v>
      </c>
      <c r="N28" s="114" t="s">
        <v>2163</v>
      </c>
    </row>
    <row r="29" spans="1:14">
      <c r="A29" s="114">
        <v>28</v>
      </c>
      <c r="B29" s="115" t="s">
        <v>2192</v>
      </c>
      <c r="C29" s="114" t="s">
        <v>34</v>
      </c>
      <c r="D29" s="114" t="s">
        <v>35</v>
      </c>
      <c r="E29" s="114">
        <v>220</v>
      </c>
      <c r="F29" s="114" t="s">
        <v>8</v>
      </c>
      <c r="G29" s="114" t="s">
        <v>2188</v>
      </c>
      <c r="H29" s="116">
        <v>12</v>
      </c>
      <c r="I29" s="116">
        <f>E29*H29</f>
        <v>2640</v>
      </c>
      <c r="J29" s="114" t="s">
        <v>20</v>
      </c>
      <c r="K29" s="114" t="s">
        <v>169</v>
      </c>
      <c r="L29" s="117">
        <v>45292</v>
      </c>
      <c r="M29" s="114" t="s">
        <v>20</v>
      </c>
      <c r="N29" s="114" t="s">
        <v>2163</v>
      </c>
    </row>
    <row r="30" spans="1:14">
      <c r="A30" s="114">
        <v>29</v>
      </c>
      <c r="B30" s="115" t="s">
        <v>2193</v>
      </c>
      <c r="C30" s="114" t="s">
        <v>34</v>
      </c>
      <c r="D30" s="114" t="s">
        <v>35</v>
      </c>
      <c r="E30" s="114">
        <v>60</v>
      </c>
      <c r="F30" s="114" t="s">
        <v>2164</v>
      </c>
      <c r="G30" s="114" t="s">
        <v>2188</v>
      </c>
      <c r="H30" s="116">
        <v>3.6</v>
      </c>
      <c r="I30" s="116">
        <f t="shared" ref="I30:I71" si="1">E30*H30</f>
        <v>216</v>
      </c>
      <c r="J30" s="114" t="s">
        <v>20</v>
      </c>
      <c r="K30" s="114" t="s">
        <v>36</v>
      </c>
      <c r="L30" s="117">
        <v>45292</v>
      </c>
      <c r="M30" s="114" t="s">
        <v>20</v>
      </c>
      <c r="N30" s="114" t="s">
        <v>2163</v>
      </c>
    </row>
    <row r="31" spans="1:14">
      <c r="A31" s="114">
        <v>30</v>
      </c>
      <c r="B31" s="115" t="s">
        <v>2194</v>
      </c>
      <c r="C31" s="114" t="s">
        <v>34</v>
      </c>
      <c r="D31" s="114" t="s">
        <v>35</v>
      </c>
      <c r="E31" s="114">
        <v>60</v>
      </c>
      <c r="F31" s="114" t="s">
        <v>2164</v>
      </c>
      <c r="G31" s="114" t="s">
        <v>2195</v>
      </c>
      <c r="H31" s="116">
        <v>6.09</v>
      </c>
      <c r="I31" s="116">
        <f t="shared" si="1"/>
        <v>365.4</v>
      </c>
      <c r="J31" s="114" t="s">
        <v>20</v>
      </c>
      <c r="K31" s="114" t="s">
        <v>36</v>
      </c>
      <c r="L31" s="117">
        <v>45292</v>
      </c>
      <c r="M31" s="114" t="s">
        <v>20</v>
      </c>
      <c r="N31" s="114" t="s">
        <v>2163</v>
      </c>
    </row>
    <row r="32" spans="1:14">
      <c r="A32" s="114">
        <v>31</v>
      </c>
      <c r="B32" s="115" t="s">
        <v>2196</v>
      </c>
      <c r="C32" s="114" t="s">
        <v>34</v>
      </c>
      <c r="D32" s="114" t="s">
        <v>35</v>
      </c>
      <c r="E32" s="114">
        <v>60</v>
      </c>
      <c r="F32" s="114" t="s">
        <v>8</v>
      </c>
      <c r="G32" s="114" t="s">
        <v>2165</v>
      </c>
      <c r="H32" s="116">
        <v>7.3</v>
      </c>
      <c r="I32" s="116">
        <f t="shared" si="1"/>
        <v>438</v>
      </c>
      <c r="J32" s="114" t="s">
        <v>20</v>
      </c>
      <c r="K32" s="114" t="s">
        <v>36</v>
      </c>
      <c r="L32" s="117">
        <v>45292</v>
      </c>
      <c r="M32" s="114" t="s">
        <v>20</v>
      </c>
      <c r="N32" s="114" t="s">
        <v>2163</v>
      </c>
    </row>
    <row r="33" spans="1:14">
      <c r="A33" s="114">
        <v>32</v>
      </c>
      <c r="B33" s="115" t="s">
        <v>2197</v>
      </c>
      <c r="C33" s="114" t="s">
        <v>34</v>
      </c>
      <c r="D33" s="114" t="s">
        <v>35</v>
      </c>
      <c r="E33" s="114">
        <v>80</v>
      </c>
      <c r="F33" s="114" t="s">
        <v>8</v>
      </c>
      <c r="G33" s="114" t="s">
        <v>2165</v>
      </c>
      <c r="H33" s="116">
        <v>1.7</v>
      </c>
      <c r="I33" s="116">
        <f t="shared" si="1"/>
        <v>136</v>
      </c>
      <c r="J33" s="114" t="s">
        <v>20</v>
      </c>
      <c r="K33" s="114" t="s">
        <v>36</v>
      </c>
      <c r="L33" s="117">
        <v>45292</v>
      </c>
      <c r="M33" s="114" t="s">
        <v>20</v>
      </c>
      <c r="N33" s="114" t="s">
        <v>2163</v>
      </c>
    </row>
    <row r="34" spans="1:14">
      <c r="A34" s="114">
        <v>33</v>
      </c>
      <c r="B34" s="115" t="s">
        <v>957</v>
      </c>
      <c r="C34" s="114" t="s">
        <v>34</v>
      </c>
      <c r="D34" s="114" t="s">
        <v>35</v>
      </c>
      <c r="E34" s="114">
        <v>40</v>
      </c>
      <c r="F34" s="114" t="s">
        <v>8</v>
      </c>
      <c r="G34" s="114" t="s">
        <v>2165</v>
      </c>
      <c r="H34" s="118">
        <v>1.78</v>
      </c>
      <c r="I34" s="116">
        <f t="shared" si="1"/>
        <v>71.2</v>
      </c>
      <c r="J34" s="114" t="s">
        <v>20</v>
      </c>
      <c r="K34" s="114" t="s">
        <v>36</v>
      </c>
      <c r="L34" s="117">
        <v>45292</v>
      </c>
      <c r="M34" s="114" t="s">
        <v>20</v>
      </c>
      <c r="N34" s="114" t="s">
        <v>2163</v>
      </c>
    </row>
    <row r="35" spans="1:14">
      <c r="A35" s="114">
        <v>34</v>
      </c>
      <c r="B35" s="115" t="s">
        <v>2198</v>
      </c>
      <c r="C35" s="114" t="s">
        <v>34</v>
      </c>
      <c r="D35" s="114" t="s">
        <v>35</v>
      </c>
      <c r="E35" s="114">
        <v>35</v>
      </c>
      <c r="F35" s="114" t="s">
        <v>8</v>
      </c>
      <c r="G35" s="114" t="s">
        <v>2165</v>
      </c>
      <c r="H35" s="118">
        <v>12.6</v>
      </c>
      <c r="I35" s="116">
        <f t="shared" si="1"/>
        <v>441</v>
      </c>
      <c r="J35" s="114" t="s">
        <v>20</v>
      </c>
      <c r="K35" s="114" t="s">
        <v>36</v>
      </c>
      <c r="L35" s="117">
        <v>45292</v>
      </c>
      <c r="M35" s="114" t="s">
        <v>20</v>
      </c>
      <c r="N35" s="114" t="s">
        <v>2163</v>
      </c>
    </row>
    <row r="36" spans="1:14">
      <c r="A36" s="114">
        <v>35</v>
      </c>
      <c r="B36" s="115" t="s">
        <v>2199</v>
      </c>
      <c r="C36" s="114" t="s">
        <v>34</v>
      </c>
      <c r="D36" s="114" t="s">
        <v>168</v>
      </c>
      <c r="E36" s="114">
        <v>7</v>
      </c>
      <c r="F36" s="114" t="s">
        <v>8</v>
      </c>
      <c r="G36" s="114" t="s">
        <v>2195</v>
      </c>
      <c r="H36" s="118">
        <v>35.729999999999997</v>
      </c>
      <c r="I36" s="116">
        <f t="shared" si="1"/>
        <v>250.10999999999999</v>
      </c>
      <c r="J36" s="114" t="s">
        <v>20</v>
      </c>
      <c r="K36" s="114" t="s">
        <v>36</v>
      </c>
      <c r="L36" s="117">
        <v>45444</v>
      </c>
      <c r="M36" s="114" t="s">
        <v>20</v>
      </c>
      <c r="N36" s="114" t="s">
        <v>2163</v>
      </c>
    </row>
    <row r="37" spans="1:14">
      <c r="A37" s="114">
        <v>36</v>
      </c>
      <c r="B37" s="115" t="s">
        <v>785</v>
      </c>
      <c r="C37" s="114" t="s">
        <v>34</v>
      </c>
      <c r="D37" s="114" t="s">
        <v>35</v>
      </c>
      <c r="E37" s="114">
        <v>50</v>
      </c>
      <c r="F37" s="114" t="s">
        <v>8</v>
      </c>
      <c r="G37" s="114" t="s">
        <v>2165</v>
      </c>
      <c r="H37" s="116">
        <v>9.99</v>
      </c>
      <c r="I37" s="116">
        <f t="shared" si="1"/>
        <v>499.5</v>
      </c>
      <c r="J37" s="114" t="s">
        <v>20</v>
      </c>
      <c r="K37" s="114" t="s">
        <v>36</v>
      </c>
      <c r="L37" s="117">
        <v>45292</v>
      </c>
      <c r="M37" s="114" t="s">
        <v>20</v>
      </c>
      <c r="N37" s="114" t="s">
        <v>2163</v>
      </c>
    </row>
    <row r="38" spans="1:14">
      <c r="A38" s="114">
        <v>37</v>
      </c>
      <c r="B38" s="115" t="s">
        <v>2200</v>
      </c>
      <c r="C38" s="114" t="s">
        <v>34</v>
      </c>
      <c r="D38" s="114" t="s">
        <v>35</v>
      </c>
      <c r="E38" s="114">
        <v>55</v>
      </c>
      <c r="F38" s="114" t="s">
        <v>679</v>
      </c>
      <c r="G38" s="114" t="s">
        <v>2165</v>
      </c>
      <c r="H38" s="118">
        <v>3.78</v>
      </c>
      <c r="I38" s="116">
        <f t="shared" si="1"/>
        <v>207.89999999999998</v>
      </c>
      <c r="J38" s="114" t="s">
        <v>20</v>
      </c>
      <c r="K38" s="114" t="s">
        <v>36</v>
      </c>
      <c r="L38" s="117">
        <v>45292</v>
      </c>
      <c r="M38" s="114" t="s">
        <v>20</v>
      </c>
      <c r="N38" s="114" t="s">
        <v>2163</v>
      </c>
    </row>
    <row r="39" spans="1:14" ht="30">
      <c r="A39" s="114">
        <v>38</v>
      </c>
      <c r="B39" s="115" t="s">
        <v>1142</v>
      </c>
      <c r="C39" s="114" t="s">
        <v>34</v>
      </c>
      <c r="D39" s="114" t="s">
        <v>35</v>
      </c>
      <c r="E39" s="114">
        <v>45</v>
      </c>
      <c r="F39" s="114" t="s">
        <v>8</v>
      </c>
      <c r="G39" s="114" t="s">
        <v>2165</v>
      </c>
      <c r="H39" s="116">
        <v>3</v>
      </c>
      <c r="I39" s="116">
        <f t="shared" si="1"/>
        <v>135</v>
      </c>
      <c r="J39" s="114" t="s">
        <v>20</v>
      </c>
      <c r="K39" s="114" t="s">
        <v>36</v>
      </c>
      <c r="L39" s="117">
        <v>45444</v>
      </c>
      <c r="M39" s="114" t="s">
        <v>20</v>
      </c>
      <c r="N39" s="114" t="s">
        <v>2163</v>
      </c>
    </row>
    <row r="40" spans="1:14">
      <c r="A40" s="114">
        <v>39</v>
      </c>
      <c r="B40" s="115" t="s">
        <v>2201</v>
      </c>
      <c r="C40" s="114" t="s">
        <v>34</v>
      </c>
      <c r="D40" s="114" t="s">
        <v>35</v>
      </c>
      <c r="E40" s="114">
        <v>20</v>
      </c>
      <c r="F40" s="114" t="s">
        <v>679</v>
      </c>
      <c r="G40" s="114" t="s">
        <v>2165</v>
      </c>
      <c r="H40" s="116">
        <v>1.6</v>
      </c>
      <c r="I40" s="116">
        <f t="shared" si="1"/>
        <v>32</v>
      </c>
      <c r="J40" s="114" t="s">
        <v>20</v>
      </c>
      <c r="K40" s="114" t="s">
        <v>36</v>
      </c>
      <c r="L40" s="117">
        <v>45292</v>
      </c>
      <c r="M40" s="114" t="s">
        <v>20</v>
      </c>
      <c r="N40" s="114" t="s">
        <v>2163</v>
      </c>
    </row>
    <row r="41" spans="1:14" ht="30">
      <c r="A41" s="114">
        <v>40</v>
      </c>
      <c r="B41" s="115" t="s">
        <v>2202</v>
      </c>
      <c r="C41" s="114" t="s">
        <v>34</v>
      </c>
      <c r="D41" s="114" t="s">
        <v>35</v>
      </c>
      <c r="E41" s="114">
        <v>950</v>
      </c>
      <c r="F41" s="114" t="s">
        <v>8</v>
      </c>
      <c r="G41" s="114" t="s">
        <v>2165</v>
      </c>
      <c r="H41" s="116">
        <v>2</v>
      </c>
      <c r="I41" s="116">
        <f t="shared" si="1"/>
        <v>1900</v>
      </c>
      <c r="J41" s="114" t="s">
        <v>20</v>
      </c>
      <c r="K41" s="114" t="s">
        <v>36</v>
      </c>
      <c r="L41" s="117">
        <v>45444</v>
      </c>
      <c r="M41" s="114" t="s">
        <v>20</v>
      </c>
      <c r="N41" s="114" t="s">
        <v>2163</v>
      </c>
    </row>
    <row r="42" spans="1:14">
      <c r="A42" s="114">
        <v>41</v>
      </c>
      <c r="B42" s="115" t="s">
        <v>2203</v>
      </c>
      <c r="C42" s="114" t="s">
        <v>34</v>
      </c>
      <c r="D42" s="114" t="s">
        <v>35</v>
      </c>
      <c r="E42" s="114">
        <v>18</v>
      </c>
      <c r="F42" s="114" t="s">
        <v>8</v>
      </c>
      <c r="G42" s="114" t="s">
        <v>2165</v>
      </c>
      <c r="H42" s="118">
        <v>14.52</v>
      </c>
      <c r="I42" s="116">
        <f t="shared" si="1"/>
        <v>261.36</v>
      </c>
      <c r="J42" s="114" t="s">
        <v>20</v>
      </c>
      <c r="K42" s="114" t="s">
        <v>36</v>
      </c>
      <c r="L42" s="117">
        <v>45444</v>
      </c>
      <c r="M42" s="114" t="s">
        <v>20</v>
      </c>
      <c r="N42" s="114" t="s">
        <v>2163</v>
      </c>
    </row>
    <row r="43" spans="1:14">
      <c r="A43" s="114">
        <v>42</v>
      </c>
      <c r="B43" s="115" t="s">
        <v>2204</v>
      </c>
      <c r="C43" s="114" t="s">
        <v>34</v>
      </c>
      <c r="D43" s="114" t="s">
        <v>35</v>
      </c>
      <c r="E43" s="114">
        <v>5500</v>
      </c>
      <c r="F43" s="114" t="s">
        <v>2205</v>
      </c>
      <c r="G43" s="114" t="s">
        <v>2195</v>
      </c>
      <c r="H43" s="121">
        <v>5.29</v>
      </c>
      <c r="I43" s="116">
        <f t="shared" si="1"/>
        <v>29095</v>
      </c>
      <c r="J43" s="114" t="s">
        <v>20</v>
      </c>
      <c r="K43" s="114" t="s">
        <v>21</v>
      </c>
      <c r="L43" s="117">
        <v>45292</v>
      </c>
      <c r="M43" s="114" t="s">
        <v>38</v>
      </c>
      <c r="N43" s="114" t="s">
        <v>2163</v>
      </c>
    </row>
    <row r="44" spans="1:14">
      <c r="A44" s="114">
        <v>43</v>
      </c>
      <c r="B44" s="115" t="s">
        <v>2206</v>
      </c>
      <c r="C44" s="114" t="s">
        <v>34</v>
      </c>
      <c r="D44" s="114" t="s">
        <v>35</v>
      </c>
      <c r="E44" s="114">
        <v>4</v>
      </c>
      <c r="F44" s="114" t="s">
        <v>8</v>
      </c>
      <c r="G44" s="114" t="s">
        <v>2195</v>
      </c>
      <c r="H44" s="121">
        <v>519</v>
      </c>
      <c r="I44" s="116">
        <f t="shared" si="1"/>
        <v>2076</v>
      </c>
      <c r="J44" s="114" t="s">
        <v>20</v>
      </c>
      <c r="K44" s="114" t="s">
        <v>36</v>
      </c>
      <c r="L44" s="117">
        <v>45292</v>
      </c>
      <c r="M44" s="114" t="s">
        <v>20</v>
      </c>
      <c r="N44" s="114" t="s">
        <v>2163</v>
      </c>
    </row>
    <row r="45" spans="1:14">
      <c r="A45" s="114">
        <v>44</v>
      </c>
      <c r="B45" s="115" t="s">
        <v>2207</v>
      </c>
      <c r="C45" s="114" t="s">
        <v>34</v>
      </c>
      <c r="D45" s="114" t="s">
        <v>35</v>
      </c>
      <c r="E45" s="114">
        <v>25</v>
      </c>
      <c r="F45" s="114" t="s">
        <v>8</v>
      </c>
      <c r="G45" s="114" t="s">
        <v>2165</v>
      </c>
      <c r="H45" s="121">
        <v>16.8</v>
      </c>
      <c r="I45" s="116">
        <f t="shared" si="1"/>
        <v>420</v>
      </c>
      <c r="J45" s="114" t="s">
        <v>20</v>
      </c>
      <c r="K45" s="114" t="s">
        <v>36</v>
      </c>
      <c r="L45" s="117">
        <v>45292</v>
      </c>
      <c r="M45" s="114" t="s">
        <v>20</v>
      </c>
      <c r="N45" s="114" t="s">
        <v>2163</v>
      </c>
    </row>
    <row r="46" spans="1:14">
      <c r="A46" s="114">
        <v>45</v>
      </c>
      <c r="B46" s="115" t="s">
        <v>2208</v>
      </c>
      <c r="C46" s="114" t="s">
        <v>34</v>
      </c>
      <c r="D46" s="114" t="s">
        <v>35</v>
      </c>
      <c r="E46" s="114">
        <v>90</v>
      </c>
      <c r="F46" s="114" t="s">
        <v>8</v>
      </c>
      <c r="G46" s="114" t="s">
        <v>2165</v>
      </c>
      <c r="H46" s="121">
        <v>2.4</v>
      </c>
      <c r="I46" s="116">
        <f t="shared" si="1"/>
        <v>216</v>
      </c>
      <c r="J46" s="114" t="s">
        <v>20</v>
      </c>
      <c r="K46" s="114" t="s">
        <v>21</v>
      </c>
      <c r="L46" s="117">
        <v>45292</v>
      </c>
      <c r="M46" s="114" t="s">
        <v>20</v>
      </c>
      <c r="N46" s="114" t="s">
        <v>2163</v>
      </c>
    </row>
    <row r="47" spans="1:14">
      <c r="A47" s="114">
        <v>46</v>
      </c>
      <c r="B47" s="115" t="s">
        <v>2209</v>
      </c>
      <c r="C47" s="114" t="s">
        <v>34</v>
      </c>
      <c r="D47" s="114" t="s">
        <v>35</v>
      </c>
      <c r="E47" s="114">
        <v>15</v>
      </c>
      <c r="F47" s="114" t="s">
        <v>8</v>
      </c>
      <c r="G47" s="114" t="s">
        <v>2165</v>
      </c>
      <c r="H47" s="118">
        <v>1.1499999999999999</v>
      </c>
      <c r="I47" s="116">
        <f t="shared" si="1"/>
        <v>17.25</v>
      </c>
      <c r="J47" s="114" t="s">
        <v>20</v>
      </c>
      <c r="K47" s="114" t="s">
        <v>36</v>
      </c>
      <c r="L47" s="117">
        <v>45292</v>
      </c>
      <c r="M47" s="114" t="s">
        <v>20</v>
      </c>
      <c r="N47" s="114" t="s">
        <v>2163</v>
      </c>
    </row>
    <row r="48" spans="1:14">
      <c r="A48" s="114">
        <v>47</v>
      </c>
      <c r="B48" s="115" t="s">
        <v>2210</v>
      </c>
      <c r="C48" s="114" t="s">
        <v>34</v>
      </c>
      <c r="D48" s="114" t="s">
        <v>35</v>
      </c>
      <c r="E48" s="114">
        <v>50</v>
      </c>
      <c r="F48" s="114" t="s">
        <v>8</v>
      </c>
      <c r="G48" s="114" t="s">
        <v>2165</v>
      </c>
      <c r="H48" s="121">
        <v>1</v>
      </c>
      <c r="I48" s="116">
        <f t="shared" si="1"/>
        <v>50</v>
      </c>
      <c r="J48" s="114" t="s">
        <v>20</v>
      </c>
      <c r="K48" s="114" t="s">
        <v>36</v>
      </c>
      <c r="L48" s="117">
        <v>45292</v>
      </c>
      <c r="M48" s="114" t="s">
        <v>20</v>
      </c>
      <c r="N48" s="114" t="s">
        <v>2163</v>
      </c>
    </row>
    <row r="49" spans="1:14">
      <c r="A49" s="114">
        <v>48</v>
      </c>
      <c r="B49" s="115" t="s">
        <v>2211</v>
      </c>
      <c r="C49" s="114" t="s">
        <v>34</v>
      </c>
      <c r="D49" s="114" t="s">
        <v>35</v>
      </c>
      <c r="E49" s="114">
        <v>300</v>
      </c>
      <c r="F49" s="114" t="s">
        <v>8</v>
      </c>
      <c r="G49" s="114" t="s">
        <v>2165</v>
      </c>
      <c r="H49" s="121">
        <v>0.21</v>
      </c>
      <c r="I49" s="116">
        <f t="shared" si="1"/>
        <v>63</v>
      </c>
      <c r="J49" s="114" t="s">
        <v>20</v>
      </c>
      <c r="K49" s="114" t="s">
        <v>21</v>
      </c>
      <c r="L49" s="117">
        <v>44927</v>
      </c>
      <c r="M49" s="114" t="s">
        <v>20</v>
      </c>
      <c r="N49" s="114" t="s">
        <v>2163</v>
      </c>
    </row>
    <row r="50" spans="1:14">
      <c r="A50" s="114">
        <v>49</v>
      </c>
      <c r="B50" s="115" t="s">
        <v>2212</v>
      </c>
      <c r="C50" s="114" t="s">
        <v>34</v>
      </c>
      <c r="D50" s="114" t="s">
        <v>35</v>
      </c>
      <c r="E50" s="114">
        <v>50</v>
      </c>
      <c r="F50" s="114" t="s">
        <v>8</v>
      </c>
      <c r="G50" s="114" t="s">
        <v>2165</v>
      </c>
      <c r="H50" s="118">
        <v>0.21</v>
      </c>
      <c r="I50" s="116">
        <f t="shared" si="1"/>
        <v>10.5</v>
      </c>
      <c r="J50" s="114" t="s">
        <v>20</v>
      </c>
      <c r="K50" s="114" t="s">
        <v>36</v>
      </c>
      <c r="L50" s="117">
        <v>45292</v>
      </c>
      <c r="M50" s="114" t="s">
        <v>20</v>
      </c>
      <c r="N50" s="114" t="s">
        <v>2163</v>
      </c>
    </row>
    <row r="51" spans="1:14">
      <c r="A51" s="114">
        <v>50</v>
      </c>
      <c r="B51" s="115" t="s">
        <v>2213</v>
      </c>
      <c r="C51" s="114" t="s">
        <v>34</v>
      </c>
      <c r="D51" s="114" t="s">
        <v>35</v>
      </c>
      <c r="E51" s="114">
        <v>200</v>
      </c>
      <c r="F51" s="114" t="s">
        <v>8</v>
      </c>
      <c r="G51" s="114" t="s">
        <v>2165</v>
      </c>
      <c r="H51" s="118">
        <v>0.21</v>
      </c>
      <c r="I51" s="116">
        <f t="shared" si="1"/>
        <v>42</v>
      </c>
      <c r="J51" s="114" t="s">
        <v>20</v>
      </c>
      <c r="K51" s="114" t="s">
        <v>36</v>
      </c>
      <c r="L51" s="117">
        <v>45292</v>
      </c>
      <c r="M51" s="114" t="s">
        <v>20</v>
      </c>
      <c r="N51" s="114" t="s">
        <v>2163</v>
      </c>
    </row>
    <row r="52" spans="1:14">
      <c r="A52" s="114">
        <v>51</v>
      </c>
      <c r="B52" s="115" t="s">
        <v>2214</v>
      </c>
      <c r="C52" s="114" t="s">
        <v>34</v>
      </c>
      <c r="D52" s="114" t="s">
        <v>35</v>
      </c>
      <c r="E52" s="114">
        <v>20</v>
      </c>
      <c r="F52" s="114" t="s">
        <v>8</v>
      </c>
      <c r="G52" s="114" t="s">
        <v>2165</v>
      </c>
      <c r="H52" s="121">
        <v>1.5</v>
      </c>
      <c r="I52" s="116">
        <f t="shared" si="1"/>
        <v>30</v>
      </c>
      <c r="J52" s="114" t="s">
        <v>20</v>
      </c>
      <c r="K52" s="114" t="s">
        <v>36</v>
      </c>
      <c r="L52" s="117">
        <v>45292</v>
      </c>
      <c r="M52" s="114" t="s">
        <v>20</v>
      </c>
      <c r="N52" s="114" t="s">
        <v>2163</v>
      </c>
    </row>
    <row r="53" spans="1:14" ht="30">
      <c r="A53" s="114">
        <v>52</v>
      </c>
      <c r="B53" s="115" t="s">
        <v>2215</v>
      </c>
      <c r="C53" s="114" t="s">
        <v>34</v>
      </c>
      <c r="D53" s="114" t="s">
        <v>35</v>
      </c>
      <c r="E53" s="114">
        <v>10</v>
      </c>
      <c r="F53" s="114" t="s">
        <v>2216</v>
      </c>
      <c r="G53" s="114" t="s">
        <v>2165</v>
      </c>
      <c r="H53" s="121">
        <v>11.39</v>
      </c>
      <c r="I53" s="116">
        <f t="shared" si="1"/>
        <v>113.9</v>
      </c>
      <c r="J53" s="114" t="s">
        <v>20</v>
      </c>
      <c r="K53" s="114" t="s">
        <v>21</v>
      </c>
      <c r="L53" s="117">
        <v>45292</v>
      </c>
      <c r="M53" s="114" t="s">
        <v>20</v>
      </c>
      <c r="N53" s="114" t="s">
        <v>2163</v>
      </c>
    </row>
    <row r="54" spans="1:14">
      <c r="A54" s="114">
        <v>53</v>
      </c>
      <c r="B54" s="115" t="s">
        <v>2217</v>
      </c>
      <c r="C54" s="114" t="s">
        <v>34</v>
      </c>
      <c r="D54" s="114" t="s">
        <v>35</v>
      </c>
      <c r="E54" s="114">
        <v>20</v>
      </c>
      <c r="F54" s="114" t="s">
        <v>2164</v>
      </c>
      <c r="G54" s="114" t="s">
        <v>2195</v>
      </c>
      <c r="H54" s="121">
        <v>20</v>
      </c>
      <c r="I54" s="116">
        <f t="shared" si="1"/>
        <v>400</v>
      </c>
      <c r="J54" s="114" t="s">
        <v>20</v>
      </c>
      <c r="K54" s="114" t="s">
        <v>21</v>
      </c>
      <c r="L54" s="117">
        <v>45292</v>
      </c>
      <c r="M54" s="114" t="s">
        <v>20</v>
      </c>
      <c r="N54" s="114" t="s">
        <v>2163</v>
      </c>
    </row>
    <row r="55" spans="1:14">
      <c r="A55" s="114">
        <v>54</v>
      </c>
      <c r="B55" s="115" t="s">
        <v>2218</v>
      </c>
      <c r="C55" s="114" t="s">
        <v>34</v>
      </c>
      <c r="D55" s="114" t="s">
        <v>35</v>
      </c>
      <c r="E55" s="114">
        <v>25</v>
      </c>
      <c r="F55" s="114" t="s">
        <v>2164</v>
      </c>
      <c r="G55" s="114" t="s">
        <v>2195</v>
      </c>
      <c r="H55" s="121">
        <v>12.76</v>
      </c>
      <c r="I55" s="116">
        <f t="shared" si="1"/>
        <v>319</v>
      </c>
      <c r="J55" s="114" t="s">
        <v>20</v>
      </c>
      <c r="K55" s="114" t="s">
        <v>36</v>
      </c>
      <c r="L55" s="117">
        <v>45292</v>
      </c>
      <c r="M55" s="114" t="s">
        <v>20</v>
      </c>
      <c r="N55" s="114" t="s">
        <v>2163</v>
      </c>
    </row>
    <row r="56" spans="1:14">
      <c r="A56" s="114">
        <v>55</v>
      </c>
      <c r="B56" s="115" t="s">
        <v>2219</v>
      </c>
      <c r="C56" s="114" t="s">
        <v>34</v>
      </c>
      <c r="D56" s="114" t="s">
        <v>35</v>
      </c>
      <c r="E56" s="114">
        <v>5</v>
      </c>
      <c r="F56" s="114" t="s">
        <v>679</v>
      </c>
      <c r="G56" s="114" t="s">
        <v>2165</v>
      </c>
      <c r="H56" s="118">
        <v>22.2</v>
      </c>
      <c r="I56" s="116">
        <f t="shared" si="1"/>
        <v>111</v>
      </c>
      <c r="J56" s="114" t="s">
        <v>20</v>
      </c>
      <c r="K56" s="114" t="s">
        <v>36</v>
      </c>
      <c r="L56" s="117">
        <v>45292</v>
      </c>
      <c r="M56" s="114" t="s">
        <v>20</v>
      </c>
      <c r="N56" s="114" t="s">
        <v>2163</v>
      </c>
    </row>
    <row r="57" spans="1:14">
      <c r="A57" s="114">
        <v>56</v>
      </c>
      <c r="B57" s="115" t="s">
        <v>2220</v>
      </c>
      <c r="C57" s="114" t="s">
        <v>34</v>
      </c>
      <c r="D57" s="114" t="s">
        <v>168</v>
      </c>
      <c r="E57" s="114">
        <v>2</v>
      </c>
      <c r="F57" s="114" t="s">
        <v>8</v>
      </c>
      <c r="G57" s="114" t="s">
        <v>2169</v>
      </c>
      <c r="H57" s="121">
        <v>1450</v>
      </c>
      <c r="I57" s="116">
        <f t="shared" si="1"/>
        <v>2900</v>
      </c>
      <c r="J57" s="114" t="s">
        <v>20</v>
      </c>
      <c r="K57" s="114" t="s">
        <v>36</v>
      </c>
      <c r="L57" s="117">
        <v>45292</v>
      </c>
      <c r="M57" s="114" t="s">
        <v>20</v>
      </c>
      <c r="N57" s="114" t="s">
        <v>2163</v>
      </c>
    </row>
    <row r="58" spans="1:14">
      <c r="A58" s="114">
        <v>57</v>
      </c>
      <c r="B58" s="115" t="s">
        <v>2221</v>
      </c>
      <c r="C58" s="114" t="s">
        <v>34</v>
      </c>
      <c r="D58" s="114" t="s">
        <v>35</v>
      </c>
      <c r="E58" s="114">
        <v>35</v>
      </c>
      <c r="F58" s="114" t="s">
        <v>2164</v>
      </c>
      <c r="G58" s="114" t="s">
        <v>2195</v>
      </c>
      <c r="H58" s="121">
        <v>2.4</v>
      </c>
      <c r="I58" s="116">
        <f t="shared" si="1"/>
        <v>84</v>
      </c>
      <c r="J58" s="114" t="s">
        <v>20</v>
      </c>
      <c r="K58" s="114" t="s">
        <v>36</v>
      </c>
      <c r="L58" s="117">
        <v>45292</v>
      </c>
      <c r="M58" s="114" t="s">
        <v>20</v>
      </c>
      <c r="N58" s="114" t="s">
        <v>2163</v>
      </c>
    </row>
    <row r="59" spans="1:14" ht="30">
      <c r="A59" s="114">
        <v>58</v>
      </c>
      <c r="B59" s="115" t="s">
        <v>2222</v>
      </c>
      <c r="C59" s="114" t="s">
        <v>34</v>
      </c>
      <c r="D59" s="114" t="s">
        <v>168</v>
      </c>
      <c r="E59" s="114">
        <v>1</v>
      </c>
      <c r="F59" s="114" t="s">
        <v>8</v>
      </c>
      <c r="G59" s="114" t="s">
        <v>2162</v>
      </c>
      <c r="H59" s="121">
        <v>6500</v>
      </c>
      <c r="I59" s="116">
        <f t="shared" si="1"/>
        <v>6500</v>
      </c>
      <c r="J59" s="114" t="s">
        <v>20</v>
      </c>
      <c r="K59" s="114" t="s">
        <v>169</v>
      </c>
      <c r="L59" s="117">
        <v>45292</v>
      </c>
      <c r="M59" s="114" t="s">
        <v>20</v>
      </c>
      <c r="N59" s="114" t="s">
        <v>2163</v>
      </c>
    </row>
    <row r="60" spans="1:14" ht="75">
      <c r="A60" s="114">
        <v>59</v>
      </c>
      <c r="B60" s="119" t="s">
        <v>2223</v>
      </c>
      <c r="C60" s="114" t="s">
        <v>34</v>
      </c>
      <c r="D60" s="114" t="s">
        <v>168</v>
      </c>
      <c r="E60" s="114">
        <v>15</v>
      </c>
      <c r="F60" s="114" t="s">
        <v>8</v>
      </c>
      <c r="G60" s="114" t="s">
        <v>2169</v>
      </c>
      <c r="H60" s="116">
        <v>600</v>
      </c>
      <c r="I60" s="116">
        <f t="shared" si="1"/>
        <v>9000</v>
      </c>
      <c r="J60" s="114" t="s">
        <v>20</v>
      </c>
      <c r="K60" s="114" t="s">
        <v>21</v>
      </c>
      <c r="L60" s="117">
        <v>45292</v>
      </c>
      <c r="M60" s="114" t="s">
        <v>20</v>
      </c>
      <c r="N60" s="114" t="s">
        <v>2163</v>
      </c>
    </row>
    <row r="61" spans="1:14" ht="45">
      <c r="A61" s="114">
        <v>60</v>
      </c>
      <c r="B61" s="122" t="s">
        <v>2224</v>
      </c>
      <c r="C61" s="114" t="s">
        <v>34</v>
      </c>
      <c r="D61" s="114" t="s">
        <v>168</v>
      </c>
      <c r="E61" s="114">
        <v>1</v>
      </c>
      <c r="F61" s="114" t="s">
        <v>8</v>
      </c>
      <c r="G61" s="114" t="s">
        <v>2195</v>
      </c>
      <c r="H61" s="116">
        <v>85000</v>
      </c>
      <c r="I61" s="116">
        <f t="shared" si="1"/>
        <v>85000</v>
      </c>
      <c r="J61" s="114" t="s">
        <v>20</v>
      </c>
      <c r="K61" s="114" t="s">
        <v>21</v>
      </c>
      <c r="L61" s="117">
        <v>45047</v>
      </c>
      <c r="M61" s="114" t="s">
        <v>20</v>
      </c>
      <c r="N61" s="114" t="s">
        <v>2163</v>
      </c>
    </row>
    <row r="62" spans="1:14" ht="30">
      <c r="A62" s="114">
        <v>61</v>
      </c>
      <c r="B62" s="122" t="s">
        <v>2225</v>
      </c>
      <c r="C62" s="114" t="s">
        <v>34</v>
      </c>
      <c r="D62" s="114" t="s">
        <v>168</v>
      </c>
      <c r="E62" s="114">
        <v>4</v>
      </c>
      <c r="F62" s="114" t="s">
        <v>8</v>
      </c>
      <c r="G62" s="114" t="s">
        <v>2162</v>
      </c>
      <c r="H62" s="123">
        <v>4928.07</v>
      </c>
      <c r="I62" s="116">
        <f t="shared" si="1"/>
        <v>19712.28</v>
      </c>
      <c r="J62" s="114" t="s">
        <v>20</v>
      </c>
      <c r="K62" s="114" t="s">
        <v>21</v>
      </c>
      <c r="L62" s="117">
        <v>45047</v>
      </c>
      <c r="M62" s="114" t="s">
        <v>20</v>
      </c>
      <c r="N62" s="114" t="s">
        <v>2163</v>
      </c>
    </row>
    <row r="63" spans="1:14">
      <c r="A63" s="114">
        <v>62</v>
      </c>
      <c r="B63" s="122" t="s">
        <v>2226</v>
      </c>
      <c r="C63" s="114" t="s">
        <v>34</v>
      </c>
      <c r="D63" s="114" t="s">
        <v>35</v>
      </c>
      <c r="E63" s="114">
        <v>390</v>
      </c>
      <c r="F63" s="114" t="s">
        <v>8</v>
      </c>
      <c r="G63" s="114" t="s">
        <v>2165</v>
      </c>
      <c r="H63" s="116">
        <v>3.15</v>
      </c>
      <c r="I63" s="116">
        <f t="shared" si="1"/>
        <v>1228.5</v>
      </c>
      <c r="J63" s="114" t="s">
        <v>20</v>
      </c>
      <c r="K63" s="114" t="s">
        <v>36</v>
      </c>
      <c r="L63" s="117">
        <v>44927</v>
      </c>
      <c r="M63" s="114" t="s">
        <v>20</v>
      </c>
      <c r="N63" s="114" t="s">
        <v>2163</v>
      </c>
    </row>
    <row r="64" spans="1:14">
      <c r="A64" s="114">
        <v>63</v>
      </c>
      <c r="B64" s="122" t="s">
        <v>2227</v>
      </c>
      <c r="C64" s="114" t="s">
        <v>34</v>
      </c>
      <c r="D64" s="114" t="s">
        <v>35</v>
      </c>
      <c r="E64" s="114">
        <v>15</v>
      </c>
      <c r="F64" s="114" t="s">
        <v>8</v>
      </c>
      <c r="G64" s="114" t="s">
        <v>2165</v>
      </c>
      <c r="H64" s="116">
        <v>30</v>
      </c>
      <c r="I64" s="116">
        <f t="shared" si="1"/>
        <v>450</v>
      </c>
      <c r="J64" s="114" t="s">
        <v>20</v>
      </c>
      <c r="K64" s="114" t="s">
        <v>36</v>
      </c>
      <c r="L64" s="117">
        <v>44927</v>
      </c>
      <c r="M64" s="114" t="s">
        <v>20</v>
      </c>
      <c r="N64" s="114" t="s">
        <v>2163</v>
      </c>
    </row>
    <row r="65" spans="1:14">
      <c r="A65" s="114">
        <v>64</v>
      </c>
      <c r="B65" s="122" t="s">
        <v>2228</v>
      </c>
      <c r="C65" s="114" t="s">
        <v>34</v>
      </c>
      <c r="D65" s="114" t="s">
        <v>35</v>
      </c>
      <c r="E65" s="114">
        <v>30</v>
      </c>
      <c r="F65" s="114" t="s">
        <v>8</v>
      </c>
      <c r="G65" s="114" t="s">
        <v>2195</v>
      </c>
      <c r="H65" s="116">
        <v>6.52</v>
      </c>
      <c r="I65" s="116">
        <f t="shared" si="1"/>
        <v>195.6</v>
      </c>
      <c r="J65" s="114" t="s">
        <v>20</v>
      </c>
      <c r="K65" s="114" t="s">
        <v>36</v>
      </c>
      <c r="L65" s="117">
        <v>44927</v>
      </c>
      <c r="M65" s="114" t="s">
        <v>20</v>
      </c>
      <c r="N65" s="114" t="s">
        <v>2163</v>
      </c>
    </row>
    <row r="66" spans="1:14">
      <c r="A66" s="114">
        <v>65</v>
      </c>
      <c r="B66" s="122" t="s">
        <v>2229</v>
      </c>
      <c r="C66" s="114" t="s">
        <v>34</v>
      </c>
      <c r="D66" s="114" t="s">
        <v>35</v>
      </c>
      <c r="E66" s="114">
        <v>20</v>
      </c>
      <c r="F66" s="114" t="s">
        <v>508</v>
      </c>
      <c r="G66" s="114" t="s">
        <v>2195</v>
      </c>
      <c r="H66" s="116">
        <v>15.9</v>
      </c>
      <c r="I66" s="116">
        <f t="shared" si="1"/>
        <v>318</v>
      </c>
      <c r="J66" s="114" t="s">
        <v>20</v>
      </c>
      <c r="K66" s="114" t="s">
        <v>36</v>
      </c>
      <c r="L66" s="117">
        <v>44927</v>
      </c>
      <c r="M66" s="114" t="s">
        <v>20</v>
      </c>
      <c r="N66" s="114" t="s">
        <v>2163</v>
      </c>
    </row>
    <row r="67" spans="1:14">
      <c r="A67" s="114">
        <v>66</v>
      </c>
      <c r="B67" s="122" t="s">
        <v>2230</v>
      </c>
      <c r="C67" s="114" t="s">
        <v>34</v>
      </c>
      <c r="D67" s="114" t="s">
        <v>35</v>
      </c>
      <c r="E67" s="114">
        <v>20</v>
      </c>
      <c r="F67" s="114" t="s">
        <v>508</v>
      </c>
      <c r="G67" s="114" t="s">
        <v>2195</v>
      </c>
      <c r="H67" s="116">
        <v>25.7</v>
      </c>
      <c r="I67" s="116">
        <f t="shared" si="1"/>
        <v>514</v>
      </c>
      <c r="J67" s="114" t="s">
        <v>20</v>
      </c>
      <c r="K67" s="114" t="s">
        <v>36</v>
      </c>
      <c r="L67" s="117">
        <v>44927</v>
      </c>
      <c r="M67" s="114" t="s">
        <v>20</v>
      </c>
      <c r="N67" s="114" t="s">
        <v>2163</v>
      </c>
    </row>
    <row r="68" spans="1:14">
      <c r="A68" s="114">
        <v>67</v>
      </c>
      <c r="B68" s="122" t="s">
        <v>2231</v>
      </c>
      <c r="C68" s="114" t="s">
        <v>34</v>
      </c>
      <c r="D68" s="114" t="s">
        <v>35</v>
      </c>
      <c r="E68" s="114">
        <v>35</v>
      </c>
      <c r="F68" s="114" t="s">
        <v>8</v>
      </c>
      <c r="G68" s="114" t="s">
        <v>2165</v>
      </c>
      <c r="H68" s="116">
        <v>20</v>
      </c>
      <c r="I68" s="116">
        <f t="shared" si="1"/>
        <v>700</v>
      </c>
      <c r="J68" s="114" t="s">
        <v>20</v>
      </c>
      <c r="K68" s="114" t="s">
        <v>36</v>
      </c>
      <c r="L68" s="117">
        <v>44927</v>
      </c>
      <c r="M68" s="114" t="s">
        <v>20</v>
      </c>
      <c r="N68" s="114" t="s">
        <v>2163</v>
      </c>
    </row>
    <row r="69" spans="1:14">
      <c r="A69" s="114">
        <v>68</v>
      </c>
      <c r="B69" s="122" t="s">
        <v>2232</v>
      </c>
      <c r="C69" s="114" t="s">
        <v>34</v>
      </c>
      <c r="D69" s="114" t="s">
        <v>35</v>
      </c>
      <c r="E69" s="114">
        <v>20</v>
      </c>
      <c r="F69" s="114" t="s">
        <v>8</v>
      </c>
      <c r="G69" s="114" t="s">
        <v>2165</v>
      </c>
      <c r="H69" s="118">
        <v>3.46</v>
      </c>
      <c r="I69" s="116">
        <f t="shared" si="1"/>
        <v>69.2</v>
      </c>
      <c r="J69" s="114" t="s">
        <v>20</v>
      </c>
      <c r="K69" s="114" t="s">
        <v>36</v>
      </c>
      <c r="L69" s="117">
        <v>44927</v>
      </c>
      <c r="M69" s="114" t="s">
        <v>20</v>
      </c>
      <c r="N69" s="114" t="s">
        <v>2163</v>
      </c>
    </row>
    <row r="70" spans="1:14">
      <c r="A70" s="114">
        <v>69</v>
      </c>
      <c r="B70" s="122" t="s">
        <v>2233</v>
      </c>
      <c r="C70" s="114" t="s">
        <v>34</v>
      </c>
      <c r="D70" s="114" t="s">
        <v>35</v>
      </c>
      <c r="E70" s="114">
        <v>20</v>
      </c>
      <c r="F70" s="114" t="s">
        <v>8</v>
      </c>
      <c r="G70" s="114" t="s">
        <v>2165</v>
      </c>
      <c r="H70" s="118">
        <v>3.46</v>
      </c>
      <c r="I70" s="116">
        <f t="shared" si="1"/>
        <v>69.2</v>
      </c>
      <c r="J70" s="114" t="s">
        <v>20</v>
      </c>
      <c r="K70" s="114" t="s">
        <v>36</v>
      </c>
      <c r="L70" s="117">
        <v>44927</v>
      </c>
      <c r="M70" s="114" t="s">
        <v>20</v>
      </c>
      <c r="N70" s="114" t="s">
        <v>2163</v>
      </c>
    </row>
    <row r="71" spans="1:14">
      <c r="A71" s="114">
        <v>70</v>
      </c>
      <c r="B71" s="122" t="s">
        <v>2234</v>
      </c>
      <c r="C71" s="114" t="s">
        <v>34</v>
      </c>
      <c r="D71" s="114" t="s">
        <v>35</v>
      </c>
      <c r="E71" s="114">
        <v>20</v>
      </c>
      <c r="F71" s="114" t="s">
        <v>8</v>
      </c>
      <c r="G71" s="114" t="s">
        <v>2165</v>
      </c>
      <c r="H71" s="118">
        <v>3.46</v>
      </c>
      <c r="I71" s="116">
        <f t="shared" si="1"/>
        <v>69.2</v>
      </c>
      <c r="J71" s="114" t="s">
        <v>20</v>
      </c>
      <c r="K71" s="114" t="s">
        <v>36</v>
      </c>
      <c r="L71" s="117">
        <v>44927</v>
      </c>
      <c r="M71" s="114" t="s">
        <v>20</v>
      </c>
      <c r="N71" s="114" t="s">
        <v>2163</v>
      </c>
    </row>
    <row r="72" spans="1:14" ht="30">
      <c r="A72" s="114">
        <v>71</v>
      </c>
      <c r="B72" s="115" t="s">
        <v>2235</v>
      </c>
      <c r="C72" s="114" t="s">
        <v>25</v>
      </c>
      <c r="D72" s="114" t="s">
        <v>17</v>
      </c>
      <c r="E72" s="124">
        <v>1</v>
      </c>
      <c r="F72" s="114" t="s">
        <v>25</v>
      </c>
      <c r="G72" s="114" t="s">
        <v>241</v>
      </c>
      <c r="H72" s="116">
        <v>791020</v>
      </c>
      <c r="I72" s="116">
        <f>H72</f>
        <v>791020</v>
      </c>
      <c r="J72" s="114" t="s">
        <v>20</v>
      </c>
      <c r="K72" s="114" t="s">
        <v>21</v>
      </c>
      <c r="L72" s="117">
        <v>45292</v>
      </c>
      <c r="M72" s="114" t="s">
        <v>38</v>
      </c>
      <c r="N72" s="114" t="s">
        <v>2163</v>
      </c>
    </row>
    <row r="73" spans="1:14" ht="30">
      <c r="A73" s="114">
        <v>72</v>
      </c>
      <c r="B73" s="115" t="s">
        <v>2236</v>
      </c>
      <c r="C73" s="114" t="s">
        <v>25</v>
      </c>
      <c r="D73" s="114" t="s">
        <v>17</v>
      </c>
      <c r="E73" s="114">
        <v>8</v>
      </c>
      <c r="F73" s="114" t="s">
        <v>25</v>
      </c>
      <c r="G73" s="114" t="s">
        <v>241</v>
      </c>
      <c r="H73" s="116">
        <v>600</v>
      </c>
      <c r="I73" s="116">
        <f>H73*E73</f>
        <v>4800</v>
      </c>
      <c r="J73" s="114" t="s">
        <v>20</v>
      </c>
      <c r="K73" s="114" t="s">
        <v>36</v>
      </c>
      <c r="L73" s="117">
        <v>45292</v>
      </c>
      <c r="M73" s="114" t="s">
        <v>38</v>
      </c>
      <c r="N73" s="114" t="s">
        <v>2163</v>
      </c>
    </row>
    <row r="74" spans="1:14">
      <c r="A74" s="114">
        <v>73</v>
      </c>
      <c r="B74" s="115" t="s">
        <v>2237</v>
      </c>
      <c r="C74" s="114" t="s">
        <v>25</v>
      </c>
      <c r="D74" s="114" t="s">
        <v>17</v>
      </c>
      <c r="E74" s="114">
        <v>8</v>
      </c>
      <c r="F74" s="114" t="s">
        <v>25</v>
      </c>
      <c r="G74" s="114" t="s">
        <v>241</v>
      </c>
      <c r="H74" s="116">
        <v>170.33</v>
      </c>
      <c r="I74" s="116">
        <f>H74*E74</f>
        <v>1362.64</v>
      </c>
      <c r="J74" s="114" t="s">
        <v>20</v>
      </c>
      <c r="K74" s="114" t="s">
        <v>21</v>
      </c>
      <c r="L74" s="117">
        <v>45292</v>
      </c>
      <c r="M74" s="114" t="s">
        <v>38</v>
      </c>
      <c r="N74" s="114" t="s">
        <v>2163</v>
      </c>
    </row>
    <row r="75" spans="1:14" ht="30">
      <c r="A75" s="114">
        <v>74</v>
      </c>
      <c r="B75" s="115" t="s">
        <v>2238</v>
      </c>
      <c r="C75" s="114" t="s">
        <v>25</v>
      </c>
      <c r="D75" s="114" t="s">
        <v>17</v>
      </c>
      <c r="E75" s="114">
        <v>4</v>
      </c>
      <c r="F75" s="114" t="s">
        <v>25</v>
      </c>
      <c r="G75" s="114" t="s">
        <v>241</v>
      </c>
      <c r="H75" s="116">
        <v>79</v>
      </c>
      <c r="I75" s="116">
        <f>(H75*E75*12)+11.39</f>
        <v>3803.39</v>
      </c>
      <c r="J75" s="114" t="s">
        <v>20</v>
      </c>
      <c r="K75" s="114" t="s">
        <v>21</v>
      </c>
      <c r="L75" s="117">
        <v>45292</v>
      </c>
      <c r="M75" s="114" t="s">
        <v>38</v>
      </c>
      <c r="N75" s="114" t="s">
        <v>2163</v>
      </c>
    </row>
    <row r="76" spans="1:14">
      <c r="A76" s="114">
        <v>75</v>
      </c>
      <c r="B76" s="115" t="s">
        <v>2239</v>
      </c>
      <c r="C76" s="114" t="s">
        <v>25</v>
      </c>
      <c r="D76" s="114" t="s">
        <v>17</v>
      </c>
      <c r="E76" s="114">
        <v>4</v>
      </c>
      <c r="F76" s="114" t="s">
        <v>25</v>
      </c>
      <c r="G76" s="114" t="s">
        <v>241</v>
      </c>
      <c r="H76" s="116">
        <v>30</v>
      </c>
      <c r="I76" s="116">
        <f>H76*E76*12</f>
        <v>1440</v>
      </c>
      <c r="J76" s="114" t="s">
        <v>20</v>
      </c>
      <c r="K76" s="114" t="s">
        <v>21</v>
      </c>
      <c r="L76" s="117">
        <v>45292</v>
      </c>
      <c r="M76" s="114" t="s">
        <v>38</v>
      </c>
      <c r="N76" s="114" t="s">
        <v>2163</v>
      </c>
    </row>
    <row r="77" spans="1:14">
      <c r="A77" s="114">
        <v>76</v>
      </c>
      <c r="B77" s="115" t="s">
        <v>2240</v>
      </c>
      <c r="C77" s="114" t="s">
        <v>25</v>
      </c>
      <c r="D77" s="114" t="s">
        <v>246</v>
      </c>
      <c r="E77" s="114">
        <v>1150000</v>
      </c>
      <c r="F77" s="114" t="s">
        <v>2241</v>
      </c>
      <c r="G77" s="114" t="s">
        <v>241</v>
      </c>
      <c r="H77" s="116">
        <v>0.3</v>
      </c>
      <c r="I77" s="116">
        <f>H77*E77</f>
        <v>345000</v>
      </c>
      <c r="J77" s="114" t="s">
        <v>20</v>
      </c>
      <c r="K77" s="114" t="s">
        <v>21</v>
      </c>
      <c r="L77" s="117">
        <v>45292</v>
      </c>
      <c r="M77" s="114" t="s">
        <v>20</v>
      </c>
      <c r="N77" s="114" t="s">
        <v>2163</v>
      </c>
    </row>
    <row r="78" spans="1:14">
      <c r="A78" s="114">
        <v>77</v>
      </c>
      <c r="B78" s="115" t="s">
        <v>2242</v>
      </c>
      <c r="C78" s="114" t="s">
        <v>25</v>
      </c>
      <c r="D78" s="114" t="s">
        <v>17</v>
      </c>
      <c r="E78" s="114">
        <v>1</v>
      </c>
      <c r="F78" s="114" t="s">
        <v>25</v>
      </c>
      <c r="G78" s="114" t="s">
        <v>241</v>
      </c>
      <c r="H78" s="116">
        <v>962475</v>
      </c>
      <c r="I78" s="116">
        <f>H78</f>
        <v>962475</v>
      </c>
      <c r="J78" s="114" t="s">
        <v>20</v>
      </c>
      <c r="K78" s="114" t="s">
        <v>21</v>
      </c>
      <c r="L78" s="117">
        <v>45292</v>
      </c>
      <c r="M78" s="114" t="s">
        <v>38</v>
      </c>
      <c r="N78" s="114" t="s">
        <v>2163</v>
      </c>
    </row>
    <row r="79" spans="1:14">
      <c r="A79" s="114">
        <v>78</v>
      </c>
      <c r="B79" s="115" t="s">
        <v>2243</v>
      </c>
      <c r="C79" s="114" t="s">
        <v>25</v>
      </c>
      <c r="D79" s="114" t="s">
        <v>17</v>
      </c>
      <c r="E79" s="114">
        <v>1</v>
      </c>
      <c r="F79" s="114" t="s">
        <v>25</v>
      </c>
      <c r="G79" s="114" t="s">
        <v>241</v>
      </c>
      <c r="H79" s="125">
        <v>260000</v>
      </c>
      <c r="I79" s="116">
        <f>H79</f>
        <v>260000</v>
      </c>
      <c r="J79" s="114" t="s">
        <v>20</v>
      </c>
      <c r="K79" s="114" t="s">
        <v>21</v>
      </c>
      <c r="L79" s="117">
        <v>45292</v>
      </c>
      <c r="M79" s="114" t="s">
        <v>38</v>
      </c>
      <c r="N79" s="114" t="s">
        <v>2163</v>
      </c>
    </row>
    <row r="80" spans="1:14">
      <c r="A80" s="114">
        <v>79</v>
      </c>
      <c r="B80" s="115" t="s">
        <v>2244</v>
      </c>
      <c r="C80" s="114" t="s">
        <v>25</v>
      </c>
      <c r="D80" s="114" t="s">
        <v>17</v>
      </c>
      <c r="E80" s="114">
        <v>2</v>
      </c>
      <c r="F80" s="114" t="s">
        <v>25</v>
      </c>
      <c r="G80" s="114" t="s">
        <v>241</v>
      </c>
      <c r="H80" s="116">
        <v>7000</v>
      </c>
      <c r="I80" s="116">
        <f>H80</f>
        <v>7000</v>
      </c>
      <c r="J80" s="114" t="s">
        <v>20</v>
      </c>
      <c r="K80" s="114" t="s">
        <v>21</v>
      </c>
      <c r="L80" s="117">
        <v>45292</v>
      </c>
      <c r="M80" s="114" t="s">
        <v>38</v>
      </c>
      <c r="N80" s="114" t="s">
        <v>2163</v>
      </c>
    </row>
    <row r="81" spans="1:14">
      <c r="A81" s="114">
        <v>80</v>
      </c>
      <c r="B81" s="115" t="s">
        <v>2245</v>
      </c>
      <c r="C81" s="114" t="s">
        <v>25</v>
      </c>
      <c r="D81" s="114" t="s">
        <v>17</v>
      </c>
      <c r="E81" s="114">
        <v>12</v>
      </c>
      <c r="F81" s="114" t="s">
        <v>25</v>
      </c>
      <c r="G81" s="114" t="s">
        <v>241</v>
      </c>
      <c r="H81" s="116">
        <v>3200</v>
      </c>
      <c r="I81" s="116">
        <f>H81*E81</f>
        <v>38400</v>
      </c>
      <c r="J81" s="114" t="s">
        <v>20</v>
      </c>
      <c r="K81" s="114" t="s">
        <v>21</v>
      </c>
      <c r="L81" s="117">
        <v>45292</v>
      </c>
      <c r="M81" s="114" t="s">
        <v>38</v>
      </c>
      <c r="N81" s="114" t="s">
        <v>2163</v>
      </c>
    </row>
    <row r="82" spans="1:14">
      <c r="A82" s="114">
        <v>81</v>
      </c>
      <c r="B82" s="115" t="s">
        <v>2246</v>
      </c>
      <c r="C82" s="114" t="s">
        <v>25</v>
      </c>
      <c r="D82" s="114" t="s">
        <v>17</v>
      </c>
      <c r="E82" s="114">
        <v>4</v>
      </c>
      <c r="F82" s="114" t="s">
        <v>25</v>
      </c>
      <c r="G82" s="114" t="s">
        <v>241</v>
      </c>
      <c r="H82" s="116">
        <v>180000</v>
      </c>
      <c r="I82" s="116">
        <f>H82</f>
        <v>180000</v>
      </c>
      <c r="J82" s="114" t="s">
        <v>20</v>
      </c>
      <c r="K82" s="114" t="s">
        <v>21</v>
      </c>
      <c r="L82" s="117">
        <v>45292</v>
      </c>
      <c r="M82" s="114" t="s">
        <v>38</v>
      </c>
      <c r="N82" s="114" t="s">
        <v>2163</v>
      </c>
    </row>
    <row r="83" spans="1:14" ht="30">
      <c r="A83" s="114">
        <v>82</v>
      </c>
      <c r="B83" s="115" t="s">
        <v>2247</v>
      </c>
      <c r="C83" s="114" t="s">
        <v>25</v>
      </c>
      <c r="D83" s="114" t="s">
        <v>17</v>
      </c>
      <c r="E83" s="114">
        <v>1</v>
      </c>
      <c r="F83" s="114" t="s">
        <v>25</v>
      </c>
      <c r="G83" s="114" t="s">
        <v>241</v>
      </c>
      <c r="H83" s="116">
        <v>17574.080000000002</v>
      </c>
      <c r="I83" s="116">
        <f>H83</f>
        <v>17574.080000000002</v>
      </c>
      <c r="J83" s="114" t="s">
        <v>20</v>
      </c>
      <c r="K83" s="114" t="s">
        <v>21</v>
      </c>
      <c r="L83" s="117">
        <v>45293</v>
      </c>
      <c r="M83" s="114" t="s">
        <v>38</v>
      </c>
      <c r="N83" s="114" t="s">
        <v>2163</v>
      </c>
    </row>
  </sheetData>
  <hyperlinks>
    <hyperlink ref="B24" location="REFERÊNCIA!A1" display="Bebedouro de água - tipo Coluna, refrigerado por Compressor" xr:uid="{1E84D33B-270E-44DC-97C2-4D9C8299A254}"/>
    <hyperlink ref="B27" location="REFERÊNCIA!A1" display="Cortina Persiana Vertical" xr:uid="{7538F6A8-C441-4AAA-B1CA-36DE7802D2C9}"/>
    <hyperlink ref="B60" location="REFERÊNCIA!A1" display="Estantes de aço 198 x 92 x 30,com 6 bandejas com reforço central e três dobras laterais, feito em chapa 22 (0,75 mm espessura), cor cinza e com sapatas de plástico pretas. Peso suportado por bandeja: 105kg" xr:uid="{E341D963-62C3-4893-98C7-5C18A7F649A6}"/>
    <hyperlink ref="B5" location="REFERÊNCIA!A1" display="Cadeiras de Escritório  Presidente " xr:uid="{378664B5-8CAC-44C4-A7C3-D482DB07F7E1}"/>
  </hyperlinks>
  <pageMargins left="0.511811024" right="0.511811024" top="0.78740157499999996" bottom="0.78740157499999996" header="0.31496062000000002" footer="0.31496062000000002"/>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CF84A-088D-42E5-AC00-12961947634C}">
  <dimension ref="A1:N53"/>
  <sheetViews>
    <sheetView workbookViewId="0">
      <selection activeCell="D7" sqref="D7"/>
    </sheetView>
  </sheetViews>
  <sheetFormatPr defaultRowHeight="15"/>
  <cols>
    <col min="2" max="2" width="40.42578125" bestFit="1" customWidth="1"/>
    <col min="12" max="12" width="16.140625" customWidth="1"/>
  </cols>
  <sheetData>
    <row r="1" spans="1:14" ht="38.25">
      <c r="A1" s="49" t="s">
        <v>0</v>
      </c>
      <c r="B1" s="49" t="s">
        <v>409</v>
      </c>
      <c r="C1" s="49" t="s">
        <v>410</v>
      </c>
      <c r="D1" s="49" t="s">
        <v>1</v>
      </c>
      <c r="E1" s="49" t="s">
        <v>582</v>
      </c>
      <c r="F1" s="49" t="s">
        <v>8</v>
      </c>
      <c r="G1" s="49" t="s">
        <v>412</v>
      </c>
      <c r="H1" s="49" t="s">
        <v>753</v>
      </c>
      <c r="I1" s="67" t="s">
        <v>3</v>
      </c>
      <c r="J1" s="59" t="s">
        <v>4</v>
      </c>
      <c r="K1" s="59" t="s">
        <v>5</v>
      </c>
      <c r="L1" s="59" t="s">
        <v>413</v>
      </c>
      <c r="M1" s="59" t="s">
        <v>7</v>
      </c>
      <c r="N1" s="59" t="s">
        <v>12</v>
      </c>
    </row>
    <row r="2" spans="1:14" ht="24.75">
      <c r="A2" s="50">
        <v>1</v>
      </c>
      <c r="B2" s="56" t="s">
        <v>754</v>
      </c>
      <c r="C2" s="48" t="s">
        <v>34</v>
      </c>
      <c r="D2" s="48" t="s">
        <v>755</v>
      </c>
      <c r="E2" s="48">
        <v>12</v>
      </c>
      <c r="F2" s="48" t="s">
        <v>756</v>
      </c>
      <c r="G2" s="48" t="s">
        <v>757</v>
      </c>
      <c r="H2" s="54">
        <v>1.2</v>
      </c>
      <c r="I2" s="68">
        <f>E2*H2</f>
        <v>14.399999999999999</v>
      </c>
      <c r="J2" s="48" t="s">
        <v>758</v>
      </c>
      <c r="K2" s="48" t="s">
        <v>21</v>
      </c>
      <c r="L2" s="126">
        <v>45444</v>
      </c>
      <c r="M2" s="48" t="s">
        <v>758</v>
      </c>
      <c r="N2" s="71" t="s">
        <v>2248</v>
      </c>
    </row>
    <row r="3" spans="1:14" ht="24.75">
      <c r="A3" s="50">
        <v>2</v>
      </c>
      <c r="B3" s="56" t="s">
        <v>760</v>
      </c>
      <c r="C3" s="48" t="s">
        <v>34</v>
      </c>
      <c r="D3" s="48" t="s">
        <v>755</v>
      </c>
      <c r="E3" s="52">
        <v>12</v>
      </c>
      <c r="F3" s="48" t="s">
        <v>756</v>
      </c>
      <c r="G3" s="48" t="s">
        <v>757</v>
      </c>
      <c r="H3" s="54">
        <v>1.2</v>
      </c>
      <c r="I3" s="68">
        <f t="shared" ref="I3:I42" si="0">E3*H3</f>
        <v>14.399999999999999</v>
      </c>
      <c r="J3" s="48" t="s">
        <v>758</v>
      </c>
      <c r="K3" s="48" t="s">
        <v>21</v>
      </c>
      <c r="L3" s="126">
        <v>45444</v>
      </c>
      <c r="M3" s="48" t="s">
        <v>758</v>
      </c>
      <c r="N3" s="71" t="s">
        <v>2248</v>
      </c>
    </row>
    <row r="4" spans="1:14" ht="24.75">
      <c r="A4" s="50">
        <v>3</v>
      </c>
      <c r="B4" s="56" t="s">
        <v>761</v>
      </c>
      <c r="C4" s="48" t="s">
        <v>34</v>
      </c>
      <c r="D4" s="48" t="s">
        <v>755</v>
      </c>
      <c r="E4" s="48">
        <v>6</v>
      </c>
      <c r="F4" s="48" t="s">
        <v>756</v>
      </c>
      <c r="G4" s="48" t="s">
        <v>757</v>
      </c>
      <c r="H4" s="54">
        <v>1.2</v>
      </c>
      <c r="I4" s="68">
        <f t="shared" si="0"/>
        <v>7.1999999999999993</v>
      </c>
      <c r="J4" s="48" t="s">
        <v>758</v>
      </c>
      <c r="K4" s="48" t="s">
        <v>21</v>
      </c>
      <c r="L4" s="126">
        <v>45444</v>
      </c>
      <c r="M4" s="48" t="s">
        <v>758</v>
      </c>
      <c r="N4" s="71" t="s">
        <v>2248</v>
      </c>
    </row>
    <row r="5" spans="1:14" ht="24.75">
      <c r="A5" s="50">
        <v>4</v>
      </c>
      <c r="B5" s="56" t="s">
        <v>762</v>
      </c>
      <c r="C5" s="48" t="s">
        <v>34</v>
      </c>
      <c r="D5" s="48" t="s">
        <v>755</v>
      </c>
      <c r="E5" s="48">
        <v>6</v>
      </c>
      <c r="F5" s="48" t="s">
        <v>756</v>
      </c>
      <c r="G5" s="48" t="s">
        <v>757</v>
      </c>
      <c r="H5" s="54">
        <v>1.8</v>
      </c>
      <c r="I5" s="68">
        <f t="shared" si="0"/>
        <v>10.8</v>
      </c>
      <c r="J5" s="48" t="s">
        <v>758</v>
      </c>
      <c r="K5" s="48" t="s">
        <v>21</v>
      </c>
      <c r="L5" s="126">
        <v>45444</v>
      </c>
      <c r="M5" s="48" t="s">
        <v>758</v>
      </c>
      <c r="N5" s="71" t="s">
        <v>2248</v>
      </c>
    </row>
    <row r="6" spans="1:14" ht="24.75">
      <c r="A6" s="50">
        <v>5</v>
      </c>
      <c r="B6" s="56" t="s">
        <v>763</v>
      </c>
      <c r="C6" s="48" t="s">
        <v>34</v>
      </c>
      <c r="D6" s="48" t="s">
        <v>755</v>
      </c>
      <c r="E6" s="48">
        <v>6</v>
      </c>
      <c r="F6" s="48" t="s">
        <v>756</v>
      </c>
      <c r="G6" s="48" t="s">
        <v>757</v>
      </c>
      <c r="H6" s="54">
        <v>1.8</v>
      </c>
      <c r="I6" s="68">
        <f t="shared" si="0"/>
        <v>10.8</v>
      </c>
      <c r="J6" s="48" t="s">
        <v>758</v>
      </c>
      <c r="K6" s="48" t="s">
        <v>21</v>
      </c>
      <c r="L6" s="126">
        <v>45444</v>
      </c>
      <c r="M6" s="48" t="s">
        <v>758</v>
      </c>
      <c r="N6" s="71" t="s">
        <v>2248</v>
      </c>
    </row>
    <row r="7" spans="1:14" ht="24.75">
      <c r="A7" s="50">
        <v>6</v>
      </c>
      <c r="B7" s="56" t="s">
        <v>764</v>
      </c>
      <c r="C7" s="48" t="s">
        <v>34</v>
      </c>
      <c r="D7" s="48" t="s">
        <v>755</v>
      </c>
      <c r="E7" s="48">
        <v>6</v>
      </c>
      <c r="F7" s="48" t="s">
        <v>765</v>
      </c>
      <c r="G7" s="48" t="s">
        <v>757</v>
      </c>
      <c r="H7" s="54">
        <v>1.8</v>
      </c>
      <c r="I7" s="68">
        <f t="shared" si="0"/>
        <v>10.8</v>
      </c>
      <c r="J7" s="48" t="s">
        <v>758</v>
      </c>
      <c r="K7" s="48" t="s">
        <v>21</v>
      </c>
      <c r="L7" s="126">
        <v>45444</v>
      </c>
      <c r="M7" s="48" t="s">
        <v>758</v>
      </c>
      <c r="N7" s="71" t="s">
        <v>2248</v>
      </c>
    </row>
    <row r="8" spans="1:14" ht="24.75">
      <c r="A8" s="50">
        <v>7</v>
      </c>
      <c r="B8" s="57" t="s">
        <v>766</v>
      </c>
      <c r="C8" s="48" t="s">
        <v>34</v>
      </c>
      <c r="D8" s="48" t="s">
        <v>755</v>
      </c>
      <c r="E8" s="48">
        <v>6</v>
      </c>
      <c r="F8" s="48" t="s">
        <v>756</v>
      </c>
      <c r="G8" s="48" t="s">
        <v>757</v>
      </c>
      <c r="H8" s="54">
        <v>1.9</v>
      </c>
      <c r="I8" s="68">
        <f t="shared" si="0"/>
        <v>11.399999999999999</v>
      </c>
      <c r="J8" s="48" t="s">
        <v>758</v>
      </c>
      <c r="K8" s="48" t="s">
        <v>21</v>
      </c>
      <c r="L8" s="126">
        <v>45444</v>
      </c>
      <c r="M8" s="48" t="s">
        <v>758</v>
      </c>
      <c r="N8" s="71" t="s">
        <v>2248</v>
      </c>
    </row>
    <row r="9" spans="1:14" ht="24.75">
      <c r="A9" s="50">
        <v>8</v>
      </c>
      <c r="B9" s="57" t="s">
        <v>767</v>
      </c>
      <c r="C9" s="48" t="s">
        <v>34</v>
      </c>
      <c r="D9" s="48" t="s">
        <v>755</v>
      </c>
      <c r="E9" s="48">
        <v>6</v>
      </c>
      <c r="F9" s="48" t="s">
        <v>756</v>
      </c>
      <c r="G9" s="48" t="s">
        <v>757</v>
      </c>
      <c r="H9" s="54">
        <v>1.9</v>
      </c>
      <c r="I9" s="68">
        <f t="shared" si="0"/>
        <v>11.399999999999999</v>
      </c>
      <c r="J9" s="48" t="s">
        <v>758</v>
      </c>
      <c r="K9" s="48" t="s">
        <v>21</v>
      </c>
      <c r="L9" s="126">
        <v>45444</v>
      </c>
      <c r="M9" s="48" t="s">
        <v>758</v>
      </c>
      <c r="N9" s="71" t="s">
        <v>2248</v>
      </c>
    </row>
    <row r="10" spans="1:14" ht="24.75">
      <c r="A10" s="50">
        <v>9</v>
      </c>
      <c r="B10" s="57" t="s">
        <v>768</v>
      </c>
      <c r="C10" s="48" t="s">
        <v>34</v>
      </c>
      <c r="D10" s="48" t="s">
        <v>755</v>
      </c>
      <c r="E10" s="48">
        <v>6</v>
      </c>
      <c r="F10" s="48" t="s">
        <v>756</v>
      </c>
      <c r="G10" s="48" t="s">
        <v>757</v>
      </c>
      <c r="H10" s="54">
        <v>1.9</v>
      </c>
      <c r="I10" s="68">
        <f t="shared" si="0"/>
        <v>11.399999999999999</v>
      </c>
      <c r="J10" s="48" t="s">
        <v>758</v>
      </c>
      <c r="K10" s="48" t="s">
        <v>21</v>
      </c>
      <c r="L10" s="126">
        <v>45444</v>
      </c>
      <c r="M10" s="48" t="s">
        <v>758</v>
      </c>
      <c r="N10" s="71" t="s">
        <v>2248</v>
      </c>
    </row>
    <row r="11" spans="1:14" ht="24.75">
      <c r="A11" s="50">
        <v>10</v>
      </c>
      <c r="B11" s="56" t="s">
        <v>769</v>
      </c>
      <c r="C11" s="48" t="s">
        <v>34</v>
      </c>
      <c r="D11" s="48" t="s">
        <v>755</v>
      </c>
      <c r="E11" s="48">
        <v>12</v>
      </c>
      <c r="F11" s="48" t="s">
        <v>756</v>
      </c>
      <c r="G11" s="48" t="s">
        <v>757</v>
      </c>
      <c r="H11" s="54">
        <v>1</v>
      </c>
      <c r="I11" s="68">
        <f t="shared" si="0"/>
        <v>12</v>
      </c>
      <c r="J11" s="48" t="s">
        <v>758</v>
      </c>
      <c r="K11" s="48" t="s">
        <v>21</v>
      </c>
      <c r="L11" s="126">
        <v>45444</v>
      </c>
      <c r="M11" s="48" t="s">
        <v>758</v>
      </c>
      <c r="N11" s="71" t="s">
        <v>2248</v>
      </c>
    </row>
    <row r="12" spans="1:14" ht="24.75">
      <c r="A12" s="50">
        <v>10</v>
      </c>
      <c r="B12" s="56" t="s">
        <v>770</v>
      </c>
      <c r="C12" s="48" t="s">
        <v>34</v>
      </c>
      <c r="D12" s="48" t="s">
        <v>755</v>
      </c>
      <c r="E12" s="48">
        <v>10</v>
      </c>
      <c r="F12" s="48" t="s">
        <v>765</v>
      </c>
      <c r="G12" s="48" t="s">
        <v>757</v>
      </c>
      <c r="H12" s="54">
        <v>32.9</v>
      </c>
      <c r="I12" s="68">
        <f t="shared" si="0"/>
        <v>329</v>
      </c>
      <c r="J12" s="48" t="s">
        <v>758</v>
      </c>
      <c r="K12" s="48" t="s">
        <v>21</v>
      </c>
      <c r="L12" s="126">
        <v>45444</v>
      </c>
      <c r="M12" s="48" t="s">
        <v>758</v>
      </c>
      <c r="N12" s="71" t="s">
        <v>2248</v>
      </c>
    </row>
    <row r="13" spans="1:14" ht="24.75">
      <c r="A13" s="50">
        <v>12</v>
      </c>
      <c r="B13" s="56" t="s">
        <v>771</v>
      </c>
      <c r="C13" s="48" t="s">
        <v>34</v>
      </c>
      <c r="D13" s="48" t="s">
        <v>755</v>
      </c>
      <c r="E13" s="48">
        <v>5</v>
      </c>
      <c r="F13" s="48" t="s">
        <v>681</v>
      </c>
      <c r="G13" s="48" t="s">
        <v>757</v>
      </c>
      <c r="H13" s="54">
        <v>34.9</v>
      </c>
      <c r="I13" s="68">
        <f t="shared" si="0"/>
        <v>174.5</v>
      </c>
      <c r="J13" s="48" t="s">
        <v>758</v>
      </c>
      <c r="K13" s="48" t="s">
        <v>21</v>
      </c>
      <c r="L13" s="126">
        <v>45444</v>
      </c>
      <c r="M13" s="48" t="s">
        <v>758</v>
      </c>
      <c r="N13" s="71" t="s">
        <v>2248</v>
      </c>
    </row>
    <row r="14" spans="1:14" ht="24.75">
      <c r="A14" s="50">
        <v>13</v>
      </c>
      <c r="B14" s="56" t="s">
        <v>772</v>
      </c>
      <c r="C14" s="48" t="s">
        <v>34</v>
      </c>
      <c r="D14" s="48" t="s">
        <v>755</v>
      </c>
      <c r="E14" s="48">
        <v>2</v>
      </c>
      <c r="F14" s="48" t="s">
        <v>681</v>
      </c>
      <c r="G14" s="48" t="s">
        <v>757</v>
      </c>
      <c r="H14" s="54">
        <v>13.5</v>
      </c>
      <c r="I14" s="68">
        <f t="shared" si="0"/>
        <v>27</v>
      </c>
      <c r="J14" s="48" t="s">
        <v>758</v>
      </c>
      <c r="K14" s="48" t="s">
        <v>21</v>
      </c>
      <c r="L14" s="126">
        <v>45444</v>
      </c>
      <c r="M14" s="48" t="s">
        <v>758</v>
      </c>
      <c r="N14" s="71" t="s">
        <v>2248</v>
      </c>
    </row>
    <row r="15" spans="1:14" ht="24.75">
      <c r="A15" s="50">
        <v>14</v>
      </c>
      <c r="B15" s="56" t="s">
        <v>773</v>
      </c>
      <c r="C15" s="51" t="s">
        <v>34</v>
      </c>
      <c r="D15" s="48" t="s">
        <v>755</v>
      </c>
      <c r="E15" s="48">
        <v>2</v>
      </c>
      <c r="F15" s="48" t="s">
        <v>681</v>
      </c>
      <c r="G15" s="48" t="s">
        <v>757</v>
      </c>
      <c r="H15" s="54">
        <v>14.9</v>
      </c>
      <c r="I15" s="68">
        <f t="shared" si="0"/>
        <v>29.8</v>
      </c>
      <c r="J15" s="48" t="s">
        <v>758</v>
      </c>
      <c r="K15" s="48" t="s">
        <v>21</v>
      </c>
      <c r="L15" s="126">
        <v>45444</v>
      </c>
      <c r="M15" s="48" t="s">
        <v>758</v>
      </c>
      <c r="N15" s="71" t="s">
        <v>2248</v>
      </c>
    </row>
    <row r="16" spans="1:14" ht="24.75">
      <c r="A16" s="50">
        <v>15</v>
      </c>
      <c r="B16" s="58" t="s">
        <v>774</v>
      </c>
      <c r="C16" s="51" t="s">
        <v>34</v>
      </c>
      <c r="D16" s="48" t="s">
        <v>755</v>
      </c>
      <c r="E16" s="48">
        <v>2</v>
      </c>
      <c r="F16" s="48" t="s">
        <v>681</v>
      </c>
      <c r="G16" s="51" t="s">
        <v>757</v>
      </c>
      <c r="H16" s="54">
        <v>22.9</v>
      </c>
      <c r="I16" s="68">
        <f t="shared" si="0"/>
        <v>45.8</v>
      </c>
      <c r="J16" s="48" t="s">
        <v>758</v>
      </c>
      <c r="K16" s="48" t="s">
        <v>21</v>
      </c>
      <c r="L16" s="126">
        <v>45444</v>
      </c>
      <c r="M16" s="48" t="s">
        <v>758</v>
      </c>
      <c r="N16" s="71" t="s">
        <v>2248</v>
      </c>
    </row>
    <row r="17" spans="1:14" ht="24.75">
      <c r="A17" s="50">
        <v>16</v>
      </c>
      <c r="B17" s="56" t="s">
        <v>775</v>
      </c>
      <c r="C17" s="48" t="s">
        <v>34</v>
      </c>
      <c r="D17" s="48" t="s">
        <v>755</v>
      </c>
      <c r="E17" s="48">
        <v>6</v>
      </c>
      <c r="F17" s="48" t="s">
        <v>756</v>
      </c>
      <c r="G17" s="48" t="s">
        <v>757</v>
      </c>
      <c r="H17" s="54">
        <v>2.4</v>
      </c>
      <c r="I17" s="68">
        <f t="shared" si="0"/>
        <v>14.399999999999999</v>
      </c>
      <c r="J17" s="48" t="s">
        <v>758</v>
      </c>
      <c r="K17" s="48" t="s">
        <v>21</v>
      </c>
      <c r="L17" s="126">
        <v>45444</v>
      </c>
      <c r="M17" s="48" t="s">
        <v>758</v>
      </c>
      <c r="N17" s="71" t="s">
        <v>2248</v>
      </c>
    </row>
    <row r="18" spans="1:14" ht="24.75">
      <c r="A18" s="50">
        <v>17</v>
      </c>
      <c r="B18" s="56" t="s">
        <v>776</v>
      </c>
      <c r="C18" s="48" t="s">
        <v>34</v>
      </c>
      <c r="D18" s="48" t="s">
        <v>755</v>
      </c>
      <c r="E18" s="48">
        <v>6</v>
      </c>
      <c r="F18" s="51" t="s">
        <v>756</v>
      </c>
      <c r="G18" s="51" t="s">
        <v>757</v>
      </c>
      <c r="H18" s="54">
        <v>5.7</v>
      </c>
      <c r="I18" s="68">
        <f t="shared" si="0"/>
        <v>34.200000000000003</v>
      </c>
      <c r="J18" s="48" t="s">
        <v>758</v>
      </c>
      <c r="K18" s="48" t="s">
        <v>21</v>
      </c>
      <c r="L18" s="126">
        <v>45444</v>
      </c>
      <c r="M18" s="48" t="s">
        <v>758</v>
      </c>
      <c r="N18" s="71" t="s">
        <v>2248</v>
      </c>
    </row>
    <row r="19" spans="1:14" ht="24.75">
      <c r="A19" s="50">
        <v>18</v>
      </c>
      <c r="B19" s="56" t="s">
        <v>777</v>
      </c>
      <c r="C19" s="51" t="s">
        <v>34</v>
      </c>
      <c r="D19" s="48" t="s">
        <v>755</v>
      </c>
      <c r="E19" s="48">
        <v>12</v>
      </c>
      <c r="F19" s="48" t="s">
        <v>756</v>
      </c>
      <c r="G19" s="48" t="s">
        <v>757</v>
      </c>
      <c r="H19" s="54">
        <v>7.9</v>
      </c>
      <c r="I19" s="68">
        <f t="shared" si="0"/>
        <v>94.800000000000011</v>
      </c>
      <c r="J19" s="48" t="s">
        <v>758</v>
      </c>
      <c r="K19" s="48" t="s">
        <v>21</v>
      </c>
      <c r="L19" s="126">
        <v>45444</v>
      </c>
      <c r="M19" s="48" t="s">
        <v>758</v>
      </c>
      <c r="N19" s="71" t="s">
        <v>2248</v>
      </c>
    </row>
    <row r="20" spans="1:14" ht="24.75">
      <c r="A20" s="50">
        <v>19</v>
      </c>
      <c r="B20" s="56" t="s">
        <v>778</v>
      </c>
      <c r="C20" s="48" t="s">
        <v>34</v>
      </c>
      <c r="D20" s="48" t="s">
        <v>755</v>
      </c>
      <c r="E20" s="48">
        <v>12</v>
      </c>
      <c r="F20" s="51" t="s">
        <v>756</v>
      </c>
      <c r="G20" s="51" t="s">
        <v>757</v>
      </c>
      <c r="H20" s="54">
        <v>2.4500000000000002</v>
      </c>
      <c r="I20" s="68">
        <f t="shared" si="0"/>
        <v>29.400000000000002</v>
      </c>
      <c r="J20" s="48" t="s">
        <v>758</v>
      </c>
      <c r="K20" s="48" t="s">
        <v>21</v>
      </c>
      <c r="L20" s="126">
        <v>45444</v>
      </c>
      <c r="M20" s="48" t="s">
        <v>758</v>
      </c>
      <c r="N20" s="71" t="s">
        <v>2248</v>
      </c>
    </row>
    <row r="21" spans="1:14" ht="24.75">
      <c r="A21" s="50">
        <v>20</v>
      </c>
      <c r="B21" s="56" t="s">
        <v>779</v>
      </c>
      <c r="C21" s="51" t="s">
        <v>34</v>
      </c>
      <c r="D21" s="48" t="s">
        <v>755</v>
      </c>
      <c r="E21" s="47">
        <v>20</v>
      </c>
      <c r="F21" s="46" t="s">
        <v>756</v>
      </c>
      <c r="G21" s="48" t="s">
        <v>757</v>
      </c>
      <c r="H21" s="54">
        <v>1</v>
      </c>
      <c r="I21" s="68">
        <f t="shared" si="0"/>
        <v>20</v>
      </c>
      <c r="J21" s="48" t="s">
        <v>758</v>
      </c>
      <c r="K21" s="48" t="s">
        <v>21</v>
      </c>
      <c r="L21" s="126">
        <v>45444</v>
      </c>
      <c r="M21" s="48" t="s">
        <v>758</v>
      </c>
      <c r="N21" s="71" t="s">
        <v>2248</v>
      </c>
    </row>
    <row r="22" spans="1:14" ht="24.75">
      <c r="A22" s="50">
        <v>21</v>
      </c>
      <c r="B22" s="56" t="s">
        <v>779</v>
      </c>
      <c r="C22" s="51" t="s">
        <v>34</v>
      </c>
      <c r="D22" s="48" t="s">
        <v>755</v>
      </c>
      <c r="E22" s="47">
        <v>20</v>
      </c>
      <c r="F22" s="46" t="s">
        <v>756</v>
      </c>
      <c r="G22" s="48" t="s">
        <v>757</v>
      </c>
      <c r="H22" s="54">
        <v>1</v>
      </c>
      <c r="I22" s="68">
        <f t="shared" si="0"/>
        <v>20</v>
      </c>
      <c r="J22" s="48" t="s">
        <v>758</v>
      </c>
      <c r="K22" s="48" t="s">
        <v>21</v>
      </c>
      <c r="L22" s="126">
        <v>45444</v>
      </c>
      <c r="M22" s="48" t="s">
        <v>758</v>
      </c>
      <c r="N22" s="71" t="s">
        <v>2248</v>
      </c>
    </row>
    <row r="23" spans="1:14" ht="24.75">
      <c r="A23" s="50">
        <v>22</v>
      </c>
      <c r="B23" s="60" t="s">
        <v>780</v>
      </c>
      <c r="C23" s="48" t="s">
        <v>34</v>
      </c>
      <c r="D23" s="48" t="s">
        <v>755</v>
      </c>
      <c r="E23" s="47">
        <v>20</v>
      </c>
      <c r="F23" s="46" t="s">
        <v>756</v>
      </c>
      <c r="G23" s="51" t="s">
        <v>757</v>
      </c>
      <c r="H23" s="54">
        <v>1</v>
      </c>
      <c r="I23" s="68">
        <f t="shared" si="0"/>
        <v>20</v>
      </c>
      <c r="J23" s="48" t="s">
        <v>758</v>
      </c>
      <c r="K23" s="48" t="s">
        <v>21</v>
      </c>
      <c r="L23" s="126">
        <v>45444</v>
      </c>
      <c r="M23" s="48" t="s">
        <v>758</v>
      </c>
      <c r="N23" s="71" t="s">
        <v>2248</v>
      </c>
    </row>
    <row r="24" spans="1:14" ht="24.75">
      <c r="A24" s="50">
        <v>23</v>
      </c>
      <c r="B24" s="56" t="s">
        <v>781</v>
      </c>
      <c r="C24" s="48" t="s">
        <v>34</v>
      </c>
      <c r="D24" s="48" t="s">
        <v>755</v>
      </c>
      <c r="E24" s="47">
        <v>6</v>
      </c>
      <c r="F24" s="46" t="s">
        <v>756</v>
      </c>
      <c r="G24" s="48" t="s">
        <v>757</v>
      </c>
      <c r="H24" s="54">
        <v>6.5</v>
      </c>
      <c r="I24" s="68">
        <f t="shared" si="0"/>
        <v>39</v>
      </c>
      <c r="J24" s="48" t="s">
        <v>758</v>
      </c>
      <c r="K24" s="48" t="s">
        <v>21</v>
      </c>
      <c r="L24" s="126">
        <v>45444</v>
      </c>
      <c r="M24" s="48" t="s">
        <v>758</v>
      </c>
      <c r="N24" s="71" t="s">
        <v>2248</v>
      </c>
    </row>
    <row r="25" spans="1:14" ht="24.75">
      <c r="A25" s="50">
        <v>24</v>
      </c>
      <c r="B25" s="56" t="s">
        <v>782</v>
      </c>
      <c r="C25" s="48" t="s">
        <v>34</v>
      </c>
      <c r="D25" s="48" t="s">
        <v>755</v>
      </c>
      <c r="E25" s="47">
        <v>20</v>
      </c>
      <c r="F25" s="46" t="s">
        <v>756</v>
      </c>
      <c r="G25" s="51" t="s">
        <v>757</v>
      </c>
      <c r="H25" s="54">
        <v>5.75</v>
      </c>
      <c r="I25" s="68">
        <f t="shared" si="0"/>
        <v>115</v>
      </c>
      <c r="J25" s="48" t="s">
        <v>758</v>
      </c>
      <c r="K25" s="48" t="s">
        <v>21</v>
      </c>
      <c r="L25" s="126">
        <v>45444</v>
      </c>
      <c r="M25" s="48" t="s">
        <v>758</v>
      </c>
      <c r="N25" s="71" t="s">
        <v>2248</v>
      </c>
    </row>
    <row r="26" spans="1:14" ht="24.75">
      <c r="A26" s="50">
        <v>25</v>
      </c>
      <c r="B26" s="56" t="s">
        <v>783</v>
      </c>
      <c r="C26" s="48" t="s">
        <v>34</v>
      </c>
      <c r="D26" s="48" t="s">
        <v>755</v>
      </c>
      <c r="E26" s="47">
        <v>4</v>
      </c>
      <c r="F26" s="46" t="s">
        <v>756</v>
      </c>
      <c r="G26" s="48" t="s">
        <v>757</v>
      </c>
      <c r="H26" s="54">
        <v>5</v>
      </c>
      <c r="I26" s="68">
        <f t="shared" si="0"/>
        <v>20</v>
      </c>
      <c r="J26" s="48" t="s">
        <v>758</v>
      </c>
      <c r="K26" s="48" t="s">
        <v>21</v>
      </c>
      <c r="L26" s="126">
        <v>45444</v>
      </c>
      <c r="M26" s="48" t="s">
        <v>758</v>
      </c>
      <c r="N26" s="71" t="s">
        <v>2248</v>
      </c>
    </row>
    <row r="27" spans="1:14" ht="24.75">
      <c r="A27" s="50">
        <v>26</v>
      </c>
      <c r="B27" s="56" t="s">
        <v>784</v>
      </c>
      <c r="C27" s="48" t="s">
        <v>34</v>
      </c>
      <c r="D27" s="48" t="s">
        <v>755</v>
      </c>
      <c r="E27" s="47">
        <v>2</v>
      </c>
      <c r="F27" s="46" t="s">
        <v>756</v>
      </c>
      <c r="G27" s="51" t="s">
        <v>757</v>
      </c>
      <c r="H27" s="54">
        <v>19.68</v>
      </c>
      <c r="I27" s="68">
        <f t="shared" si="0"/>
        <v>39.36</v>
      </c>
      <c r="J27" s="48" t="s">
        <v>758</v>
      </c>
      <c r="K27" s="48" t="s">
        <v>21</v>
      </c>
      <c r="L27" s="126">
        <v>45444</v>
      </c>
      <c r="M27" s="48" t="s">
        <v>758</v>
      </c>
      <c r="N27" s="71" t="s">
        <v>2248</v>
      </c>
    </row>
    <row r="28" spans="1:14" ht="24.75">
      <c r="A28" s="50">
        <v>27</v>
      </c>
      <c r="B28" s="56" t="s">
        <v>785</v>
      </c>
      <c r="C28" s="51" t="s">
        <v>34</v>
      </c>
      <c r="D28" s="48" t="s">
        <v>755</v>
      </c>
      <c r="E28" s="47">
        <v>6</v>
      </c>
      <c r="F28" s="46" t="s">
        <v>756</v>
      </c>
      <c r="G28" s="48" t="s">
        <v>757</v>
      </c>
      <c r="H28" s="54">
        <v>9.99</v>
      </c>
      <c r="I28" s="68">
        <f t="shared" si="0"/>
        <v>59.94</v>
      </c>
      <c r="J28" s="48" t="s">
        <v>758</v>
      </c>
      <c r="K28" s="48" t="s">
        <v>21</v>
      </c>
      <c r="L28" s="126">
        <v>45444</v>
      </c>
      <c r="M28" s="48" t="s">
        <v>758</v>
      </c>
      <c r="N28" s="71" t="s">
        <v>2248</v>
      </c>
    </row>
    <row r="29" spans="1:14" ht="24.75">
      <c r="A29" s="50">
        <v>28</v>
      </c>
      <c r="B29" s="56" t="s">
        <v>786</v>
      </c>
      <c r="C29" s="51" t="s">
        <v>34</v>
      </c>
      <c r="D29" s="48" t="s">
        <v>755</v>
      </c>
      <c r="E29" s="47">
        <v>2</v>
      </c>
      <c r="F29" s="46" t="s">
        <v>756</v>
      </c>
      <c r="G29" s="51" t="s">
        <v>757</v>
      </c>
      <c r="H29" s="54">
        <v>29.95</v>
      </c>
      <c r="I29" s="68">
        <f t="shared" si="0"/>
        <v>59.9</v>
      </c>
      <c r="J29" s="48" t="s">
        <v>758</v>
      </c>
      <c r="K29" s="48" t="s">
        <v>21</v>
      </c>
      <c r="L29" s="126">
        <v>45444</v>
      </c>
      <c r="M29" s="48" t="s">
        <v>758</v>
      </c>
      <c r="N29" s="71" t="s">
        <v>2248</v>
      </c>
    </row>
    <row r="30" spans="1:14" ht="24.75">
      <c r="A30" s="50">
        <v>29</v>
      </c>
      <c r="B30" s="60" t="s">
        <v>787</v>
      </c>
      <c r="C30" s="48" t="s">
        <v>34</v>
      </c>
      <c r="D30" s="48" t="s">
        <v>755</v>
      </c>
      <c r="E30" s="47">
        <v>2</v>
      </c>
      <c r="F30" s="46" t="s">
        <v>756</v>
      </c>
      <c r="G30" s="48" t="s">
        <v>757</v>
      </c>
      <c r="H30" s="54">
        <v>44.17</v>
      </c>
      <c r="I30" s="68">
        <f t="shared" si="0"/>
        <v>88.34</v>
      </c>
      <c r="J30" s="48" t="s">
        <v>758</v>
      </c>
      <c r="K30" s="48" t="s">
        <v>21</v>
      </c>
      <c r="L30" s="126">
        <v>45444</v>
      </c>
      <c r="M30" s="48" t="s">
        <v>758</v>
      </c>
      <c r="N30" s="71" t="s">
        <v>2248</v>
      </c>
    </row>
    <row r="31" spans="1:14" ht="24.75">
      <c r="A31" s="50">
        <v>30</v>
      </c>
      <c r="B31" s="60" t="s">
        <v>788</v>
      </c>
      <c r="C31" s="48" t="s">
        <v>34</v>
      </c>
      <c r="D31" s="48" t="s">
        <v>755</v>
      </c>
      <c r="E31" s="47">
        <v>2</v>
      </c>
      <c r="F31" s="46" t="s">
        <v>756</v>
      </c>
      <c r="G31" s="51" t="s">
        <v>757</v>
      </c>
      <c r="H31" s="54">
        <v>25</v>
      </c>
      <c r="I31" s="68">
        <f t="shared" si="0"/>
        <v>50</v>
      </c>
      <c r="J31" s="48" t="s">
        <v>758</v>
      </c>
      <c r="K31" s="48" t="s">
        <v>21</v>
      </c>
      <c r="L31" s="126">
        <v>45444</v>
      </c>
      <c r="M31" s="48" t="s">
        <v>758</v>
      </c>
      <c r="N31" s="71" t="s">
        <v>2248</v>
      </c>
    </row>
    <row r="32" spans="1:14" ht="24.75">
      <c r="A32" s="50">
        <v>31</v>
      </c>
      <c r="B32" s="60" t="s">
        <v>789</v>
      </c>
      <c r="C32" s="48" t="s">
        <v>34</v>
      </c>
      <c r="D32" s="48" t="s">
        <v>755</v>
      </c>
      <c r="E32" s="47">
        <v>4</v>
      </c>
      <c r="F32" s="46" t="s">
        <v>756</v>
      </c>
      <c r="G32" s="48" t="s">
        <v>757</v>
      </c>
      <c r="H32" s="54">
        <v>21.3</v>
      </c>
      <c r="I32" s="68">
        <f t="shared" si="0"/>
        <v>85.2</v>
      </c>
      <c r="J32" s="48" t="s">
        <v>758</v>
      </c>
      <c r="K32" s="48" t="s">
        <v>21</v>
      </c>
      <c r="L32" s="126">
        <v>45444</v>
      </c>
      <c r="M32" s="48" t="s">
        <v>758</v>
      </c>
      <c r="N32" s="71" t="s">
        <v>2248</v>
      </c>
    </row>
    <row r="33" spans="1:14" ht="24.75">
      <c r="A33" s="50">
        <v>32</v>
      </c>
      <c r="B33" s="56" t="s">
        <v>790</v>
      </c>
      <c r="C33" s="48" t="s">
        <v>34</v>
      </c>
      <c r="D33" s="48" t="s">
        <v>755</v>
      </c>
      <c r="E33" s="47">
        <v>1</v>
      </c>
      <c r="F33" s="46" t="s">
        <v>756</v>
      </c>
      <c r="G33" s="48" t="s">
        <v>757</v>
      </c>
      <c r="H33" s="54">
        <v>113.13</v>
      </c>
      <c r="I33" s="68">
        <f t="shared" si="0"/>
        <v>113.13</v>
      </c>
      <c r="J33" s="48" t="s">
        <v>758</v>
      </c>
      <c r="K33" s="48" t="s">
        <v>21</v>
      </c>
      <c r="L33" s="126">
        <v>45444</v>
      </c>
      <c r="M33" s="48" t="s">
        <v>758</v>
      </c>
      <c r="N33" s="71" t="s">
        <v>2248</v>
      </c>
    </row>
    <row r="34" spans="1:14" ht="24.75">
      <c r="A34" s="50">
        <v>33</v>
      </c>
      <c r="B34" s="60" t="s">
        <v>791</v>
      </c>
      <c r="C34" s="48" t="s">
        <v>34</v>
      </c>
      <c r="D34" s="48" t="s">
        <v>755</v>
      </c>
      <c r="E34" s="47">
        <v>10</v>
      </c>
      <c r="F34" s="46" t="s">
        <v>756</v>
      </c>
      <c r="G34" s="48" t="s">
        <v>757</v>
      </c>
      <c r="H34" s="54">
        <v>0.2</v>
      </c>
      <c r="I34" s="68">
        <f t="shared" si="0"/>
        <v>2</v>
      </c>
      <c r="J34" s="48" t="s">
        <v>758</v>
      </c>
      <c r="K34" s="48" t="s">
        <v>21</v>
      </c>
      <c r="L34" s="126">
        <v>45444</v>
      </c>
      <c r="M34" s="48" t="s">
        <v>758</v>
      </c>
      <c r="N34" s="71" t="s">
        <v>2248</v>
      </c>
    </row>
    <row r="35" spans="1:14" ht="24.75">
      <c r="A35" s="50">
        <v>34</v>
      </c>
      <c r="B35" s="60" t="s">
        <v>792</v>
      </c>
      <c r="C35" s="48" t="s">
        <v>34</v>
      </c>
      <c r="D35" s="48" t="s">
        <v>755</v>
      </c>
      <c r="E35" s="47">
        <v>2</v>
      </c>
      <c r="F35" s="46" t="s">
        <v>756</v>
      </c>
      <c r="G35" s="48" t="s">
        <v>757</v>
      </c>
      <c r="H35" s="54">
        <v>18.739999999999998</v>
      </c>
      <c r="I35" s="68">
        <f t="shared" si="0"/>
        <v>37.479999999999997</v>
      </c>
      <c r="J35" s="48" t="s">
        <v>758</v>
      </c>
      <c r="K35" s="48" t="s">
        <v>21</v>
      </c>
      <c r="L35" s="126">
        <v>45444</v>
      </c>
      <c r="M35" s="48" t="s">
        <v>758</v>
      </c>
      <c r="N35" s="71" t="s">
        <v>2248</v>
      </c>
    </row>
    <row r="36" spans="1:14" ht="36.75">
      <c r="A36" s="50">
        <v>35</v>
      </c>
      <c r="B36" s="60" t="s">
        <v>793</v>
      </c>
      <c r="C36" s="48" t="s">
        <v>34</v>
      </c>
      <c r="D36" s="48" t="s">
        <v>755</v>
      </c>
      <c r="E36" s="47">
        <v>10</v>
      </c>
      <c r="F36" s="47" t="s">
        <v>794</v>
      </c>
      <c r="G36" s="48" t="s">
        <v>757</v>
      </c>
      <c r="H36" s="54">
        <v>14.89</v>
      </c>
      <c r="I36" s="68">
        <f t="shared" si="0"/>
        <v>148.9</v>
      </c>
      <c r="J36" s="48" t="s">
        <v>758</v>
      </c>
      <c r="K36" s="48" t="s">
        <v>21</v>
      </c>
      <c r="L36" s="126">
        <v>45444</v>
      </c>
      <c r="M36" s="48" t="s">
        <v>758</v>
      </c>
      <c r="N36" s="71" t="s">
        <v>2248</v>
      </c>
    </row>
    <row r="37" spans="1:14" ht="24.75">
      <c r="A37" s="50">
        <v>36</v>
      </c>
      <c r="B37" s="60" t="s">
        <v>795</v>
      </c>
      <c r="C37" s="48" t="s">
        <v>34</v>
      </c>
      <c r="D37" s="48" t="s">
        <v>755</v>
      </c>
      <c r="E37" s="47">
        <v>6</v>
      </c>
      <c r="F37" s="47" t="s">
        <v>756</v>
      </c>
      <c r="G37" s="48" t="s">
        <v>757</v>
      </c>
      <c r="H37" s="54">
        <v>3.6</v>
      </c>
      <c r="I37" s="68">
        <f t="shared" si="0"/>
        <v>21.6</v>
      </c>
      <c r="J37" s="48" t="s">
        <v>758</v>
      </c>
      <c r="K37" s="48" t="s">
        <v>21</v>
      </c>
      <c r="L37" s="126">
        <v>45444</v>
      </c>
      <c r="M37" s="48" t="s">
        <v>758</v>
      </c>
      <c r="N37" s="71" t="s">
        <v>2248</v>
      </c>
    </row>
    <row r="38" spans="1:14" ht="24.75">
      <c r="A38" s="50">
        <v>37</v>
      </c>
      <c r="B38" s="60" t="s">
        <v>796</v>
      </c>
      <c r="C38" s="48" t="s">
        <v>797</v>
      </c>
      <c r="D38" s="48" t="s">
        <v>755</v>
      </c>
      <c r="E38" s="47">
        <v>50</v>
      </c>
      <c r="F38" s="47" t="s">
        <v>756</v>
      </c>
      <c r="G38" s="48" t="s">
        <v>757</v>
      </c>
      <c r="H38" s="54">
        <v>10</v>
      </c>
      <c r="I38" s="68">
        <f t="shared" si="0"/>
        <v>500</v>
      </c>
      <c r="J38" s="48" t="s">
        <v>758</v>
      </c>
      <c r="K38" s="48" t="s">
        <v>21</v>
      </c>
      <c r="L38" s="126">
        <v>45444</v>
      </c>
      <c r="M38" s="48" t="s">
        <v>758</v>
      </c>
      <c r="N38" s="71" t="s">
        <v>2248</v>
      </c>
    </row>
    <row r="39" spans="1:14" ht="24.75">
      <c r="A39" s="50">
        <v>38</v>
      </c>
      <c r="B39" s="56" t="s">
        <v>2249</v>
      </c>
      <c r="C39" s="48" t="s">
        <v>34</v>
      </c>
      <c r="D39" s="48" t="s">
        <v>168</v>
      </c>
      <c r="E39" s="48">
        <v>1</v>
      </c>
      <c r="F39" s="48" t="s">
        <v>756</v>
      </c>
      <c r="G39" s="48" t="s">
        <v>757</v>
      </c>
      <c r="H39" s="64">
        <v>100</v>
      </c>
      <c r="I39" s="66">
        <f t="shared" si="0"/>
        <v>100</v>
      </c>
      <c r="J39" s="48" t="s">
        <v>20</v>
      </c>
      <c r="K39" s="48" t="s">
        <v>21</v>
      </c>
      <c r="L39" s="126">
        <v>45444</v>
      </c>
      <c r="M39" s="48" t="s">
        <v>758</v>
      </c>
      <c r="N39" s="71" t="s">
        <v>2248</v>
      </c>
    </row>
    <row r="40" spans="1:14" ht="24.75">
      <c r="A40" s="50">
        <v>39</v>
      </c>
      <c r="B40" s="56" t="s">
        <v>798</v>
      </c>
      <c r="C40" s="48" t="s">
        <v>34</v>
      </c>
      <c r="D40" s="48" t="s">
        <v>168</v>
      </c>
      <c r="E40" s="48">
        <v>1</v>
      </c>
      <c r="F40" s="48" t="s">
        <v>756</v>
      </c>
      <c r="G40" s="48" t="s">
        <v>757</v>
      </c>
      <c r="H40" s="64">
        <v>100</v>
      </c>
      <c r="I40" s="66">
        <f t="shared" si="0"/>
        <v>100</v>
      </c>
      <c r="J40" s="48" t="s">
        <v>20</v>
      </c>
      <c r="K40" s="48" t="s">
        <v>21</v>
      </c>
      <c r="L40" s="126">
        <v>45444</v>
      </c>
      <c r="M40" s="48" t="s">
        <v>758</v>
      </c>
      <c r="N40" s="71" t="s">
        <v>2248</v>
      </c>
    </row>
    <row r="41" spans="1:14" ht="24.75">
      <c r="A41" s="50">
        <v>40</v>
      </c>
      <c r="B41" s="60" t="s">
        <v>799</v>
      </c>
      <c r="C41" s="48" t="s">
        <v>172</v>
      </c>
      <c r="D41" s="48" t="s">
        <v>168</v>
      </c>
      <c r="E41" s="48">
        <v>3</v>
      </c>
      <c r="F41" s="48" t="s">
        <v>756</v>
      </c>
      <c r="G41" s="48" t="s">
        <v>757</v>
      </c>
      <c r="H41" s="65">
        <v>369</v>
      </c>
      <c r="I41" s="66">
        <f t="shared" si="0"/>
        <v>1107</v>
      </c>
      <c r="J41" s="48" t="s">
        <v>20</v>
      </c>
      <c r="K41" s="48" t="s">
        <v>21</v>
      </c>
      <c r="L41" s="126">
        <v>45444</v>
      </c>
      <c r="M41" s="48" t="s">
        <v>758</v>
      </c>
      <c r="N41" s="71" t="s">
        <v>2248</v>
      </c>
    </row>
    <row r="42" spans="1:14" ht="24.75">
      <c r="A42" s="50">
        <v>41</v>
      </c>
      <c r="B42" s="56" t="s">
        <v>800</v>
      </c>
      <c r="C42" s="48" t="s">
        <v>801</v>
      </c>
      <c r="D42" s="48" t="s">
        <v>168</v>
      </c>
      <c r="E42" s="48">
        <v>3</v>
      </c>
      <c r="F42" s="48" t="s">
        <v>756</v>
      </c>
      <c r="G42" s="48" t="s">
        <v>802</v>
      </c>
      <c r="H42" s="64">
        <v>299</v>
      </c>
      <c r="I42" s="66">
        <f t="shared" si="0"/>
        <v>897</v>
      </c>
      <c r="J42" s="48" t="s">
        <v>20</v>
      </c>
      <c r="K42" s="48" t="s">
        <v>21</v>
      </c>
      <c r="L42" s="126">
        <v>45444</v>
      </c>
      <c r="M42" s="48" t="s">
        <v>758</v>
      </c>
      <c r="N42" s="71" t="s">
        <v>2248</v>
      </c>
    </row>
    <row r="43" spans="1:14" ht="24.75">
      <c r="A43" s="50">
        <v>42</v>
      </c>
      <c r="B43" s="60" t="s">
        <v>2250</v>
      </c>
      <c r="C43" s="48" t="s">
        <v>34</v>
      </c>
      <c r="D43" s="48" t="s">
        <v>168</v>
      </c>
      <c r="E43" s="48">
        <v>1</v>
      </c>
      <c r="F43" s="48" t="s">
        <v>756</v>
      </c>
      <c r="G43" s="48" t="s">
        <v>757</v>
      </c>
      <c r="H43" s="53">
        <v>80000</v>
      </c>
      <c r="I43" s="127">
        <v>80000</v>
      </c>
      <c r="J43" s="48" t="s">
        <v>21</v>
      </c>
      <c r="K43" s="48" t="s">
        <v>758</v>
      </c>
      <c r="L43" s="126">
        <v>45444</v>
      </c>
      <c r="M43" s="48" t="s">
        <v>758</v>
      </c>
      <c r="N43" s="71" t="s">
        <v>2248</v>
      </c>
    </row>
    <row r="44" spans="1:14" ht="24.75">
      <c r="A44" s="50">
        <v>43</v>
      </c>
      <c r="B44" s="56" t="s">
        <v>803</v>
      </c>
      <c r="C44" s="48" t="s">
        <v>34</v>
      </c>
      <c r="D44" s="48" t="s">
        <v>168</v>
      </c>
      <c r="E44" s="48">
        <v>1</v>
      </c>
      <c r="F44" s="48" t="s">
        <v>756</v>
      </c>
      <c r="G44" s="48" t="s">
        <v>757</v>
      </c>
      <c r="H44" s="68">
        <v>60</v>
      </c>
      <c r="I44" s="68">
        <f t="shared" ref="I44:I50" si="1">E44*H44</f>
        <v>60</v>
      </c>
      <c r="J44" s="48" t="s">
        <v>758</v>
      </c>
      <c r="K44" s="48" t="s">
        <v>21</v>
      </c>
      <c r="L44" s="126">
        <v>45444</v>
      </c>
      <c r="M44" s="48" t="s">
        <v>758</v>
      </c>
      <c r="N44" s="71" t="s">
        <v>2248</v>
      </c>
    </row>
    <row r="45" spans="1:14" ht="24.75">
      <c r="A45" s="50">
        <v>44</v>
      </c>
      <c r="B45" s="56" t="s">
        <v>804</v>
      </c>
      <c r="C45" s="48" t="s">
        <v>34</v>
      </c>
      <c r="D45" s="48" t="s">
        <v>805</v>
      </c>
      <c r="E45" s="48">
        <v>1</v>
      </c>
      <c r="F45" s="48" t="s">
        <v>756</v>
      </c>
      <c r="G45" s="48" t="s">
        <v>757</v>
      </c>
      <c r="H45" s="68">
        <v>350</v>
      </c>
      <c r="I45" s="68">
        <f t="shared" si="1"/>
        <v>350</v>
      </c>
      <c r="J45" s="48" t="s">
        <v>758</v>
      </c>
      <c r="K45" s="48" t="s">
        <v>21</v>
      </c>
      <c r="L45" s="126">
        <v>45444</v>
      </c>
      <c r="M45" s="48" t="s">
        <v>758</v>
      </c>
      <c r="N45" s="71" t="s">
        <v>2248</v>
      </c>
    </row>
    <row r="46" spans="1:14" ht="24.75">
      <c r="A46" s="50">
        <v>45</v>
      </c>
      <c r="B46" s="60" t="s">
        <v>806</v>
      </c>
      <c r="C46" s="48" t="s">
        <v>34</v>
      </c>
      <c r="D46" s="48" t="s">
        <v>168</v>
      </c>
      <c r="E46" s="48">
        <v>1</v>
      </c>
      <c r="F46" s="48" t="s">
        <v>756</v>
      </c>
      <c r="G46" s="48" t="s">
        <v>757</v>
      </c>
      <c r="H46" s="68">
        <v>6500</v>
      </c>
      <c r="I46" s="68">
        <f t="shared" si="1"/>
        <v>6500</v>
      </c>
      <c r="J46" s="48" t="s">
        <v>758</v>
      </c>
      <c r="K46" s="48" t="s">
        <v>21</v>
      </c>
      <c r="L46" s="126">
        <v>45444</v>
      </c>
      <c r="M46" s="48" t="s">
        <v>758</v>
      </c>
      <c r="N46" s="71" t="s">
        <v>2248</v>
      </c>
    </row>
    <row r="47" spans="1:14" ht="36.75">
      <c r="A47" s="50">
        <v>46</v>
      </c>
      <c r="B47" s="60" t="s">
        <v>807</v>
      </c>
      <c r="C47" s="48" t="s">
        <v>34</v>
      </c>
      <c r="D47" s="48" t="s">
        <v>168</v>
      </c>
      <c r="E47" s="48">
        <v>1</v>
      </c>
      <c r="F47" s="48" t="s">
        <v>756</v>
      </c>
      <c r="G47" s="48" t="s">
        <v>757</v>
      </c>
      <c r="H47" s="62">
        <v>2399</v>
      </c>
      <c r="I47" s="68">
        <f t="shared" si="1"/>
        <v>2399</v>
      </c>
      <c r="J47" s="48" t="s">
        <v>758</v>
      </c>
      <c r="K47" s="48" t="s">
        <v>21</v>
      </c>
      <c r="L47" s="126">
        <v>45444</v>
      </c>
      <c r="M47" s="48" t="s">
        <v>758</v>
      </c>
      <c r="N47" s="71" t="s">
        <v>2248</v>
      </c>
    </row>
    <row r="48" spans="1:14" ht="24.75">
      <c r="A48" s="50">
        <v>47</v>
      </c>
      <c r="B48" s="55" t="s">
        <v>808</v>
      </c>
      <c r="C48" s="48" t="s">
        <v>34</v>
      </c>
      <c r="D48" s="48" t="s">
        <v>168</v>
      </c>
      <c r="E48" s="48">
        <v>1</v>
      </c>
      <c r="F48" s="48" t="s">
        <v>756</v>
      </c>
      <c r="G48" s="48" t="s">
        <v>757</v>
      </c>
      <c r="H48" s="68">
        <v>289.89999999999998</v>
      </c>
      <c r="I48" s="68">
        <f t="shared" si="1"/>
        <v>289.89999999999998</v>
      </c>
      <c r="J48" s="48" t="s">
        <v>758</v>
      </c>
      <c r="K48" s="48" t="s">
        <v>21</v>
      </c>
      <c r="L48" s="126">
        <v>45444</v>
      </c>
      <c r="M48" s="48" t="s">
        <v>758</v>
      </c>
      <c r="N48" s="71" t="s">
        <v>2248</v>
      </c>
    </row>
    <row r="49" spans="1:14" ht="24.75">
      <c r="A49" s="50">
        <v>48</v>
      </c>
      <c r="B49" s="63" t="s">
        <v>809</v>
      </c>
      <c r="C49" s="48" t="s">
        <v>34</v>
      </c>
      <c r="D49" s="48" t="s">
        <v>168</v>
      </c>
      <c r="E49" s="52">
        <v>1</v>
      </c>
      <c r="F49" s="48" t="s">
        <v>756</v>
      </c>
      <c r="G49" s="48" t="s">
        <v>757</v>
      </c>
      <c r="H49" s="68">
        <v>50</v>
      </c>
      <c r="I49" s="68">
        <f t="shared" si="1"/>
        <v>50</v>
      </c>
      <c r="J49" s="48" t="s">
        <v>758</v>
      </c>
      <c r="K49" s="48" t="s">
        <v>21</v>
      </c>
      <c r="L49" s="126">
        <v>45444</v>
      </c>
      <c r="M49" s="48" t="s">
        <v>758</v>
      </c>
      <c r="N49" s="71" t="s">
        <v>2248</v>
      </c>
    </row>
    <row r="50" spans="1:14" ht="25.5">
      <c r="A50" s="50">
        <v>49</v>
      </c>
      <c r="B50" s="73" t="s">
        <v>2251</v>
      </c>
      <c r="C50" s="48" t="s">
        <v>34</v>
      </c>
      <c r="D50" s="48" t="s">
        <v>168</v>
      </c>
      <c r="E50" s="48">
        <v>1</v>
      </c>
      <c r="F50" s="48" t="s">
        <v>756</v>
      </c>
      <c r="G50" s="48" t="s">
        <v>757</v>
      </c>
      <c r="H50" s="54">
        <v>1099</v>
      </c>
      <c r="I50" s="68">
        <f t="shared" si="1"/>
        <v>1099</v>
      </c>
      <c r="J50" s="48" t="s">
        <v>758</v>
      </c>
      <c r="K50" s="48" t="s">
        <v>21</v>
      </c>
      <c r="L50" s="126">
        <v>45444</v>
      </c>
      <c r="M50" s="48" t="s">
        <v>758</v>
      </c>
      <c r="N50" s="71" t="s">
        <v>2248</v>
      </c>
    </row>
    <row r="51" spans="1:14" ht="26.25">
      <c r="A51" s="50">
        <v>50</v>
      </c>
      <c r="B51" s="70" t="s">
        <v>2252</v>
      </c>
      <c r="C51" s="48" t="s">
        <v>347</v>
      </c>
      <c r="D51" s="48" t="s">
        <v>2253</v>
      </c>
      <c r="E51" s="48">
        <v>2</v>
      </c>
      <c r="F51" s="48" t="s">
        <v>2254</v>
      </c>
      <c r="G51" s="48" t="s">
        <v>757</v>
      </c>
      <c r="H51" s="54">
        <v>600</v>
      </c>
      <c r="I51" s="69">
        <f>E51*H51</f>
        <v>1200</v>
      </c>
      <c r="J51" s="48" t="s">
        <v>20</v>
      </c>
      <c r="K51" s="48" t="s">
        <v>331</v>
      </c>
      <c r="L51" s="126">
        <v>45444</v>
      </c>
      <c r="M51" s="48" t="s">
        <v>391</v>
      </c>
      <c r="N51" s="72" t="s">
        <v>2248</v>
      </c>
    </row>
    <row r="52" spans="1:14" ht="39">
      <c r="A52" s="50">
        <v>51</v>
      </c>
      <c r="B52" s="70" t="s">
        <v>2255</v>
      </c>
      <c r="C52" s="48" t="s">
        <v>347</v>
      </c>
      <c r="D52" s="48" t="s">
        <v>2256</v>
      </c>
      <c r="E52" s="48">
        <v>12</v>
      </c>
      <c r="F52" s="48" t="s">
        <v>2254</v>
      </c>
      <c r="G52" s="48" t="s">
        <v>757</v>
      </c>
      <c r="H52" s="54">
        <v>170.33</v>
      </c>
      <c r="I52" s="69">
        <f>E52*H52</f>
        <v>2043.96</v>
      </c>
      <c r="J52" s="48" t="s">
        <v>20</v>
      </c>
      <c r="K52" s="48" t="s">
        <v>331</v>
      </c>
      <c r="L52" s="126">
        <v>45444</v>
      </c>
      <c r="M52" s="48" t="s">
        <v>391</v>
      </c>
      <c r="N52" s="72" t="s">
        <v>2248</v>
      </c>
    </row>
    <row r="53" spans="1:14" ht="26.25">
      <c r="A53" s="50">
        <v>52</v>
      </c>
      <c r="B53" s="56" t="s">
        <v>812</v>
      </c>
      <c r="C53" s="48" t="s">
        <v>801</v>
      </c>
      <c r="D53" s="48" t="s">
        <v>811</v>
      </c>
      <c r="E53" s="48">
        <v>60</v>
      </c>
      <c r="F53" s="48" t="s">
        <v>813</v>
      </c>
      <c r="G53" s="48" t="s">
        <v>757</v>
      </c>
      <c r="H53" s="54">
        <v>12</v>
      </c>
      <c r="I53" s="69">
        <f>E53*H53</f>
        <v>720</v>
      </c>
      <c r="J53" s="48" t="s">
        <v>20</v>
      </c>
      <c r="K53" s="48" t="s">
        <v>331</v>
      </c>
      <c r="L53" s="126">
        <v>45444</v>
      </c>
      <c r="M53" s="48" t="s">
        <v>758</v>
      </c>
      <c r="N53" s="72" t="s">
        <v>2248</v>
      </c>
    </row>
  </sheetData>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71636-F087-4BC3-A437-E65673E59E2C}">
  <dimension ref="A1:N134"/>
  <sheetViews>
    <sheetView topLeftCell="A19" workbookViewId="0">
      <selection activeCell="L10" sqref="L10"/>
    </sheetView>
  </sheetViews>
  <sheetFormatPr defaultRowHeight="15"/>
  <cols>
    <col min="2" max="2" width="29.28515625" customWidth="1"/>
    <col min="9" max="9" width="13.140625" customWidth="1"/>
    <col min="12" max="12" width="18.5703125" customWidth="1"/>
  </cols>
  <sheetData>
    <row r="1" spans="1:14" ht="38.25">
      <c r="A1" s="49" t="s">
        <v>0</v>
      </c>
      <c r="B1" s="49" t="s">
        <v>409</v>
      </c>
      <c r="C1" s="49" t="s">
        <v>410</v>
      </c>
      <c r="D1" s="49" t="s">
        <v>1</v>
      </c>
      <c r="E1" s="49" t="s">
        <v>582</v>
      </c>
      <c r="F1" s="49" t="s">
        <v>8</v>
      </c>
      <c r="G1" s="49" t="s">
        <v>412</v>
      </c>
      <c r="H1" s="49" t="s">
        <v>753</v>
      </c>
      <c r="I1" s="67" t="s">
        <v>3</v>
      </c>
      <c r="J1" s="59" t="s">
        <v>4</v>
      </c>
      <c r="K1" s="59" t="s">
        <v>5</v>
      </c>
      <c r="L1" s="59" t="s">
        <v>413</v>
      </c>
      <c r="M1" s="59" t="s">
        <v>7</v>
      </c>
      <c r="N1" s="59" t="s">
        <v>12</v>
      </c>
    </row>
    <row r="2" spans="1:14">
      <c r="A2" s="50">
        <v>1</v>
      </c>
      <c r="B2" s="56" t="s">
        <v>754</v>
      </c>
      <c r="C2" s="48" t="s">
        <v>34</v>
      </c>
      <c r="D2" s="48" t="s">
        <v>755</v>
      </c>
      <c r="E2" s="48">
        <v>60</v>
      </c>
      <c r="F2" s="48" t="s">
        <v>756</v>
      </c>
      <c r="G2" s="48" t="s">
        <v>757</v>
      </c>
      <c r="H2" s="54">
        <v>1.2</v>
      </c>
      <c r="I2" s="68">
        <f>E2*H2</f>
        <v>72</v>
      </c>
      <c r="J2" s="48" t="s">
        <v>758</v>
      </c>
      <c r="K2" s="48" t="s">
        <v>21</v>
      </c>
      <c r="L2" s="126">
        <v>45444</v>
      </c>
      <c r="M2" s="48" t="s">
        <v>758</v>
      </c>
      <c r="N2" s="71" t="s">
        <v>2257</v>
      </c>
    </row>
    <row r="3" spans="1:14">
      <c r="A3" s="50">
        <v>2</v>
      </c>
      <c r="B3" s="56" t="s">
        <v>760</v>
      </c>
      <c r="C3" s="48" t="s">
        <v>34</v>
      </c>
      <c r="D3" s="48" t="s">
        <v>755</v>
      </c>
      <c r="E3" s="52">
        <v>48</v>
      </c>
      <c r="F3" s="48" t="s">
        <v>756</v>
      </c>
      <c r="G3" s="48" t="s">
        <v>757</v>
      </c>
      <c r="H3" s="54">
        <v>1.2</v>
      </c>
      <c r="I3" s="68">
        <f t="shared" ref="I3:I33" si="0">E3*H3</f>
        <v>57.599999999999994</v>
      </c>
      <c r="J3" s="48" t="s">
        <v>758</v>
      </c>
      <c r="K3" s="48" t="s">
        <v>21</v>
      </c>
      <c r="L3" s="126">
        <v>45444</v>
      </c>
      <c r="M3" s="48" t="s">
        <v>758</v>
      </c>
      <c r="N3" s="71" t="s">
        <v>2257</v>
      </c>
    </row>
    <row r="4" spans="1:14">
      <c r="A4" s="50">
        <v>3</v>
      </c>
      <c r="B4" s="56" t="s">
        <v>761</v>
      </c>
      <c r="C4" s="48" t="s">
        <v>34</v>
      </c>
      <c r="D4" s="48" t="s">
        <v>755</v>
      </c>
      <c r="E4" s="48">
        <v>48</v>
      </c>
      <c r="F4" s="48" t="s">
        <v>756</v>
      </c>
      <c r="G4" s="48" t="s">
        <v>757</v>
      </c>
      <c r="H4" s="54">
        <v>1.2</v>
      </c>
      <c r="I4" s="68">
        <f t="shared" si="0"/>
        <v>57.599999999999994</v>
      </c>
      <c r="J4" s="48" t="s">
        <v>758</v>
      </c>
      <c r="K4" s="48" t="s">
        <v>21</v>
      </c>
      <c r="L4" s="126">
        <v>45444</v>
      </c>
      <c r="M4" s="48" t="s">
        <v>758</v>
      </c>
      <c r="N4" s="71" t="s">
        <v>2257</v>
      </c>
    </row>
    <row r="5" spans="1:14">
      <c r="A5" s="50">
        <v>4</v>
      </c>
      <c r="B5" s="56" t="s">
        <v>762</v>
      </c>
      <c r="C5" s="48" t="s">
        <v>34</v>
      </c>
      <c r="D5" s="48" t="s">
        <v>755</v>
      </c>
      <c r="E5" s="48">
        <v>24</v>
      </c>
      <c r="F5" s="48" t="s">
        <v>756</v>
      </c>
      <c r="G5" s="48" t="s">
        <v>757</v>
      </c>
      <c r="H5" s="54">
        <v>1.8</v>
      </c>
      <c r="I5" s="68">
        <f t="shared" si="0"/>
        <v>43.2</v>
      </c>
      <c r="J5" s="48" t="s">
        <v>758</v>
      </c>
      <c r="K5" s="48" t="s">
        <v>21</v>
      </c>
      <c r="L5" s="126">
        <v>45444</v>
      </c>
      <c r="M5" s="48" t="s">
        <v>758</v>
      </c>
      <c r="N5" s="71" t="s">
        <v>2257</v>
      </c>
    </row>
    <row r="6" spans="1:14">
      <c r="A6" s="50">
        <v>5</v>
      </c>
      <c r="B6" s="56" t="s">
        <v>763</v>
      </c>
      <c r="C6" s="48" t="s">
        <v>34</v>
      </c>
      <c r="D6" s="48" t="s">
        <v>755</v>
      </c>
      <c r="E6" s="48">
        <v>24</v>
      </c>
      <c r="F6" s="48" t="s">
        <v>756</v>
      </c>
      <c r="G6" s="48" t="s">
        <v>757</v>
      </c>
      <c r="H6" s="54">
        <v>1.8</v>
      </c>
      <c r="I6" s="68">
        <f t="shared" si="0"/>
        <v>43.2</v>
      </c>
      <c r="J6" s="48" t="s">
        <v>758</v>
      </c>
      <c r="K6" s="48" t="s">
        <v>21</v>
      </c>
      <c r="L6" s="126">
        <v>45444</v>
      </c>
      <c r="M6" s="48" t="s">
        <v>758</v>
      </c>
      <c r="N6" s="71" t="s">
        <v>2257</v>
      </c>
    </row>
    <row r="7" spans="1:14">
      <c r="A7" s="50">
        <v>6</v>
      </c>
      <c r="B7" s="56" t="s">
        <v>764</v>
      </c>
      <c r="C7" s="48" t="s">
        <v>34</v>
      </c>
      <c r="D7" s="48" t="s">
        <v>755</v>
      </c>
      <c r="E7" s="48">
        <v>24</v>
      </c>
      <c r="F7" s="48" t="s">
        <v>765</v>
      </c>
      <c r="G7" s="48" t="s">
        <v>757</v>
      </c>
      <c r="H7" s="54">
        <v>1.8</v>
      </c>
      <c r="I7" s="68">
        <f t="shared" si="0"/>
        <v>43.2</v>
      </c>
      <c r="J7" s="48" t="s">
        <v>758</v>
      </c>
      <c r="K7" s="48" t="s">
        <v>21</v>
      </c>
      <c r="L7" s="126">
        <v>45444</v>
      </c>
      <c r="M7" s="48" t="s">
        <v>758</v>
      </c>
      <c r="N7" s="71" t="s">
        <v>2257</v>
      </c>
    </row>
    <row r="8" spans="1:14">
      <c r="A8" s="50">
        <v>7</v>
      </c>
      <c r="B8" s="57" t="s">
        <v>2258</v>
      </c>
      <c r="C8" s="48" t="s">
        <v>34</v>
      </c>
      <c r="D8" s="48" t="s">
        <v>755</v>
      </c>
      <c r="E8" s="48">
        <v>6</v>
      </c>
      <c r="F8" s="48" t="s">
        <v>756</v>
      </c>
      <c r="G8" s="48" t="s">
        <v>757</v>
      </c>
      <c r="H8" s="54">
        <v>29.9</v>
      </c>
      <c r="I8" s="68">
        <f t="shared" si="0"/>
        <v>179.39999999999998</v>
      </c>
      <c r="J8" s="48" t="s">
        <v>758</v>
      </c>
      <c r="K8" s="48" t="s">
        <v>21</v>
      </c>
      <c r="L8" s="126">
        <v>45444</v>
      </c>
      <c r="M8" s="48" t="s">
        <v>758</v>
      </c>
      <c r="N8" s="71" t="s">
        <v>2257</v>
      </c>
    </row>
    <row r="9" spans="1:14">
      <c r="A9" s="50">
        <v>8</v>
      </c>
      <c r="B9" s="57" t="s">
        <v>2259</v>
      </c>
      <c r="C9" s="48" t="s">
        <v>34</v>
      </c>
      <c r="D9" s="48" t="s">
        <v>755</v>
      </c>
      <c r="E9" s="48">
        <v>3</v>
      </c>
      <c r="F9" s="48" t="s">
        <v>756</v>
      </c>
      <c r="G9" s="48" t="s">
        <v>757</v>
      </c>
      <c r="H9" s="54">
        <v>37.5</v>
      </c>
      <c r="I9" s="68">
        <f t="shared" si="0"/>
        <v>112.5</v>
      </c>
      <c r="J9" s="48" t="s">
        <v>758</v>
      </c>
      <c r="K9" s="48" t="s">
        <v>21</v>
      </c>
      <c r="L9" s="126">
        <v>45444</v>
      </c>
      <c r="M9" s="48" t="s">
        <v>758</v>
      </c>
      <c r="N9" s="71" t="s">
        <v>2257</v>
      </c>
    </row>
    <row r="10" spans="1:14">
      <c r="A10" s="50">
        <v>10</v>
      </c>
      <c r="B10" s="56" t="s">
        <v>769</v>
      </c>
      <c r="C10" s="48" t="s">
        <v>34</v>
      </c>
      <c r="D10" s="48" t="s">
        <v>755</v>
      </c>
      <c r="E10" s="48">
        <v>48</v>
      </c>
      <c r="F10" s="48" t="s">
        <v>756</v>
      </c>
      <c r="G10" s="48" t="s">
        <v>757</v>
      </c>
      <c r="H10" s="54">
        <v>1</v>
      </c>
      <c r="I10" s="68">
        <f t="shared" si="0"/>
        <v>48</v>
      </c>
      <c r="J10" s="48" t="s">
        <v>758</v>
      </c>
      <c r="K10" s="48" t="s">
        <v>21</v>
      </c>
      <c r="L10" s="126">
        <v>45444</v>
      </c>
      <c r="M10" s="48" t="s">
        <v>758</v>
      </c>
      <c r="N10" s="71" t="s">
        <v>2257</v>
      </c>
    </row>
    <row r="11" spans="1:14">
      <c r="A11" s="50">
        <v>10</v>
      </c>
      <c r="B11" s="56" t="s">
        <v>770</v>
      </c>
      <c r="C11" s="48" t="s">
        <v>34</v>
      </c>
      <c r="D11" s="48" t="s">
        <v>755</v>
      </c>
      <c r="E11" s="48">
        <v>200</v>
      </c>
      <c r="F11" s="48" t="s">
        <v>765</v>
      </c>
      <c r="G11" s="48" t="s">
        <v>757</v>
      </c>
      <c r="H11" s="54">
        <v>32.9</v>
      </c>
      <c r="I11" s="68">
        <f t="shared" si="0"/>
        <v>6580</v>
      </c>
      <c r="J11" s="48" t="s">
        <v>758</v>
      </c>
      <c r="K11" s="48" t="s">
        <v>21</v>
      </c>
      <c r="L11" s="126">
        <v>45444</v>
      </c>
      <c r="M11" s="48" t="s">
        <v>758</v>
      </c>
      <c r="N11" s="71" t="s">
        <v>2257</v>
      </c>
    </row>
    <row r="12" spans="1:14">
      <c r="A12" s="50">
        <v>12</v>
      </c>
      <c r="B12" s="56" t="s">
        <v>771</v>
      </c>
      <c r="C12" s="48" t="s">
        <v>34</v>
      </c>
      <c r="D12" s="48" t="s">
        <v>755</v>
      </c>
      <c r="E12" s="48">
        <v>10</v>
      </c>
      <c r="F12" s="48" t="s">
        <v>681</v>
      </c>
      <c r="G12" s="48" t="s">
        <v>757</v>
      </c>
      <c r="H12" s="54">
        <v>34.9</v>
      </c>
      <c r="I12" s="68">
        <f t="shared" si="0"/>
        <v>349</v>
      </c>
      <c r="J12" s="48" t="s">
        <v>758</v>
      </c>
      <c r="K12" s="48" t="s">
        <v>21</v>
      </c>
      <c r="L12" s="126">
        <v>45444</v>
      </c>
      <c r="M12" s="48" t="s">
        <v>758</v>
      </c>
      <c r="N12" s="71" t="s">
        <v>2257</v>
      </c>
    </row>
    <row r="13" spans="1:14">
      <c r="A13" s="50">
        <v>13</v>
      </c>
      <c r="B13" s="56" t="s">
        <v>772</v>
      </c>
      <c r="C13" s="48" t="s">
        <v>34</v>
      </c>
      <c r="D13" s="48" t="s">
        <v>755</v>
      </c>
      <c r="E13" s="48">
        <v>10</v>
      </c>
      <c r="F13" s="48" t="s">
        <v>681</v>
      </c>
      <c r="G13" s="48" t="s">
        <v>757</v>
      </c>
      <c r="H13" s="54">
        <v>13.5</v>
      </c>
      <c r="I13" s="68">
        <f t="shared" si="0"/>
        <v>135</v>
      </c>
      <c r="J13" s="48" t="s">
        <v>758</v>
      </c>
      <c r="K13" s="48" t="s">
        <v>21</v>
      </c>
      <c r="L13" s="126">
        <v>45444</v>
      </c>
      <c r="M13" s="48" t="s">
        <v>758</v>
      </c>
      <c r="N13" s="71" t="s">
        <v>2257</v>
      </c>
    </row>
    <row r="14" spans="1:14">
      <c r="A14" s="50">
        <v>14</v>
      </c>
      <c r="B14" s="56" t="s">
        <v>773</v>
      </c>
      <c r="C14" s="51" t="s">
        <v>34</v>
      </c>
      <c r="D14" s="48" t="s">
        <v>755</v>
      </c>
      <c r="E14" s="48">
        <v>5</v>
      </c>
      <c r="F14" s="48" t="s">
        <v>681</v>
      </c>
      <c r="G14" s="48" t="s">
        <v>757</v>
      </c>
      <c r="H14" s="54">
        <v>14.9</v>
      </c>
      <c r="I14" s="68">
        <f t="shared" si="0"/>
        <v>74.5</v>
      </c>
      <c r="J14" s="48" t="s">
        <v>758</v>
      </c>
      <c r="K14" s="48" t="s">
        <v>21</v>
      </c>
      <c r="L14" s="126">
        <v>45444</v>
      </c>
      <c r="M14" s="48" t="s">
        <v>758</v>
      </c>
      <c r="N14" s="71" t="s">
        <v>2257</v>
      </c>
    </row>
    <row r="15" spans="1:14">
      <c r="A15" s="50">
        <v>15</v>
      </c>
      <c r="B15" s="58" t="s">
        <v>774</v>
      </c>
      <c r="C15" s="51" t="s">
        <v>34</v>
      </c>
      <c r="D15" s="48" t="s">
        <v>755</v>
      </c>
      <c r="E15" s="48">
        <v>50</v>
      </c>
      <c r="F15" s="48" t="s">
        <v>681</v>
      </c>
      <c r="G15" s="51" t="s">
        <v>757</v>
      </c>
      <c r="H15" s="54">
        <v>22.9</v>
      </c>
      <c r="I15" s="68">
        <f t="shared" si="0"/>
        <v>1145</v>
      </c>
      <c r="J15" s="48" t="s">
        <v>758</v>
      </c>
      <c r="K15" s="48" t="s">
        <v>21</v>
      </c>
      <c r="L15" s="126">
        <v>45444</v>
      </c>
      <c r="M15" s="48" t="s">
        <v>758</v>
      </c>
      <c r="N15" s="71" t="s">
        <v>2257</v>
      </c>
    </row>
    <row r="16" spans="1:14">
      <c r="A16" s="50">
        <v>16</v>
      </c>
      <c r="B16" s="56" t="s">
        <v>775</v>
      </c>
      <c r="C16" s="48" t="s">
        <v>34</v>
      </c>
      <c r="D16" s="48" t="s">
        <v>755</v>
      </c>
      <c r="E16" s="48">
        <v>36</v>
      </c>
      <c r="F16" s="48" t="s">
        <v>756</v>
      </c>
      <c r="G16" s="48" t="s">
        <v>757</v>
      </c>
      <c r="H16" s="54">
        <v>2.4</v>
      </c>
      <c r="I16" s="68">
        <f t="shared" si="0"/>
        <v>86.399999999999991</v>
      </c>
      <c r="J16" s="48" t="s">
        <v>758</v>
      </c>
      <c r="K16" s="48" t="s">
        <v>21</v>
      </c>
      <c r="L16" s="126">
        <v>45444</v>
      </c>
      <c r="M16" s="48" t="s">
        <v>758</v>
      </c>
      <c r="N16" s="71" t="s">
        <v>2257</v>
      </c>
    </row>
    <row r="17" spans="1:14">
      <c r="A17" s="50">
        <v>17</v>
      </c>
      <c r="B17" s="56" t="s">
        <v>776</v>
      </c>
      <c r="C17" s="48" t="s">
        <v>34</v>
      </c>
      <c r="D17" s="48" t="s">
        <v>755</v>
      </c>
      <c r="E17" s="48">
        <v>12</v>
      </c>
      <c r="F17" s="51" t="s">
        <v>756</v>
      </c>
      <c r="G17" s="51" t="s">
        <v>757</v>
      </c>
      <c r="H17" s="54">
        <v>5.7</v>
      </c>
      <c r="I17" s="68">
        <f t="shared" si="0"/>
        <v>68.400000000000006</v>
      </c>
      <c r="J17" s="48" t="s">
        <v>758</v>
      </c>
      <c r="K17" s="48" t="s">
        <v>21</v>
      </c>
      <c r="L17" s="126">
        <v>45444</v>
      </c>
      <c r="M17" s="48" t="s">
        <v>758</v>
      </c>
      <c r="N17" s="71" t="s">
        <v>2257</v>
      </c>
    </row>
    <row r="18" spans="1:14">
      <c r="A18" s="50">
        <v>18</v>
      </c>
      <c r="B18" s="56" t="s">
        <v>777</v>
      </c>
      <c r="C18" s="51" t="s">
        <v>34</v>
      </c>
      <c r="D18" s="48" t="s">
        <v>755</v>
      </c>
      <c r="E18" s="48">
        <v>12</v>
      </c>
      <c r="F18" s="48" t="s">
        <v>756</v>
      </c>
      <c r="G18" s="48" t="s">
        <v>757</v>
      </c>
      <c r="H18" s="54">
        <v>7.9</v>
      </c>
      <c r="I18" s="68">
        <f t="shared" si="0"/>
        <v>94.800000000000011</v>
      </c>
      <c r="J18" s="48" t="s">
        <v>758</v>
      </c>
      <c r="K18" s="48" t="s">
        <v>21</v>
      </c>
      <c r="L18" s="126">
        <v>45444</v>
      </c>
      <c r="M18" s="48" t="s">
        <v>758</v>
      </c>
      <c r="N18" s="71" t="s">
        <v>2257</v>
      </c>
    </row>
    <row r="19" spans="1:14">
      <c r="A19" s="50">
        <v>19</v>
      </c>
      <c r="B19" s="56" t="s">
        <v>778</v>
      </c>
      <c r="C19" s="48" t="s">
        <v>34</v>
      </c>
      <c r="D19" s="48" t="s">
        <v>755</v>
      </c>
      <c r="E19" s="48">
        <v>12</v>
      </c>
      <c r="F19" s="51" t="s">
        <v>756</v>
      </c>
      <c r="G19" s="51" t="s">
        <v>757</v>
      </c>
      <c r="H19" s="54">
        <v>2.4500000000000002</v>
      </c>
      <c r="I19" s="68">
        <f t="shared" si="0"/>
        <v>29.400000000000002</v>
      </c>
      <c r="J19" s="48" t="s">
        <v>758</v>
      </c>
      <c r="K19" s="48" t="s">
        <v>21</v>
      </c>
      <c r="L19" s="126">
        <v>45444</v>
      </c>
      <c r="M19" s="48" t="s">
        <v>758</v>
      </c>
      <c r="N19" s="71" t="s">
        <v>2257</v>
      </c>
    </row>
    <row r="20" spans="1:14" ht="24.75">
      <c r="A20" s="50">
        <v>20</v>
      </c>
      <c r="B20" s="60" t="s">
        <v>2260</v>
      </c>
      <c r="C20" s="48" t="s">
        <v>34</v>
      </c>
      <c r="D20" s="48" t="s">
        <v>755</v>
      </c>
      <c r="E20" s="47">
        <v>300</v>
      </c>
      <c r="F20" s="46" t="s">
        <v>756</v>
      </c>
      <c r="G20" s="48" t="s">
        <v>757</v>
      </c>
      <c r="H20" s="54">
        <v>2</v>
      </c>
      <c r="I20" s="68">
        <f t="shared" si="0"/>
        <v>600</v>
      </c>
      <c r="J20" s="48" t="s">
        <v>758</v>
      </c>
      <c r="K20" s="48" t="s">
        <v>21</v>
      </c>
      <c r="L20" s="126">
        <v>45444</v>
      </c>
      <c r="M20" s="48" t="s">
        <v>758</v>
      </c>
      <c r="N20" s="71" t="s">
        <v>2257</v>
      </c>
    </row>
    <row r="21" spans="1:14">
      <c r="A21" s="50">
        <v>21</v>
      </c>
      <c r="B21" s="60" t="s">
        <v>2261</v>
      </c>
      <c r="C21" s="51" t="s">
        <v>34</v>
      </c>
      <c r="D21" s="48" t="s">
        <v>755</v>
      </c>
      <c r="E21" s="47">
        <v>12</v>
      </c>
      <c r="F21" s="46" t="s">
        <v>756</v>
      </c>
      <c r="G21" s="51" t="s">
        <v>757</v>
      </c>
      <c r="H21" s="54">
        <v>5.61</v>
      </c>
      <c r="I21" s="68">
        <f t="shared" si="0"/>
        <v>67.320000000000007</v>
      </c>
      <c r="J21" s="48" t="s">
        <v>758</v>
      </c>
      <c r="K21" s="48" t="s">
        <v>21</v>
      </c>
      <c r="L21" s="126">
        <v>45444</v>
      </c>
      <c r="M21" s="48" t="s">
        <v>758</v>
      </c>
      <c r="N21" s="71" t="s">
        <v>2257</v>
      </c>
    </row>
    <row r="22" spans="1:14">
      <c r="A22" s="50">
        <v>22</v>
      </c>
      <c r="B22" s="56" t="s">
        <v>779</v>
      </c>
      <c r="C22" s="51" t="s">
        <v>34</v>
      </c>
      <c r="D22" s="48" t="s">
        <v>755</v>
      </c>
      <c r="E22" s="47">
        <v>100</v>
      </c>
      <c r="F22" s="46" t="s">
        <v>756</v>
      </c>
      <c r="G22" s="48" t="s">
        <v>757</v>
      </c>
      <c r="H22" s="54">
        <v>1</v>
      </c>
      <c r="I22" s="68">
        <f t="shared" si="0"/>
        <v>100</v>
      </c>
      <c r="J22" s="48" t="s">
        <v>758</v>
      </c>
      <c r="K22" s="48" t="s">
        <v>21</v>
      </c>
      <c r="L22" s="126">
        <v>45444</v>
      </c>
      <c r="M22" s="48" t="s">
        <v>758</v>
      </c>
      <c r="N22" s="71" t="s">
        <v>2257</v>
      </c>
    </row>
    <row r="23" spans="1:14" ht="24.75">
      <c r="A23" s="50">
        <v>23</v>
      </c>
      <c r="B23" s="60" t="s">
        <v>780</v>
      </c>
      <c r="C23" s="48" t="s">
        <v>34</v>
      </c>
      <c r="D23" s="48" t="s">
        <v>755</v>
      </c>
      <c r="E23" s="47">
        <v>100</v>
      </c>
      <c r="F23" s="46" t="s">
        <v>756</v>
      </c>
      <c r="G23" s="51" t="s">
        <v>757</v>
      </c>
      <c r="H23" s="54">
        <v>1</v>
      </c>
      <c r="I23" s="68">
        <f t="shared" si="0"/>
        <v>100</v>
      </c>
      <c r="J23" s="48" t="s">
        <v>758</v>
      </c>
      <c r="K23" s="48" t="s">
        <v>21</v>
      </c>
      <c r="L23" s="126">
        <v>45444</v>
      </c>
      <c r="M23" s="48" t="s">
        <v>758</v>
      </c>
      <c r="N23" s="71" t="s">
        <v>2257</v>
      </c>
    </row>
    <row r="24" spans="1:14">
      <c r="A24" s="50">
        <v>24</v>
      </c>
      <c r="B24" s="56" t="s">
        <v>781</v>
      </c>
      <c r="C24" s="48" t="s">
        <v>34</v>
      </c>
      <c r="D24" s="48" t="s">
        <v>755</v>
      </c>
      <c r="E24" s="47">
        <v>12</v>
      </c>
      <c r="F24" s="46" t="s">
        <v>756</v>
      </c>
      <c r="G24" s="48" t="s">
        <v>757</v>
      </c>
      <c r="H24" s="54">
        <v>6.5</v>
      </c>
      <c r="I24" s="68">
        <f t="shared" si="0"/>
        <v>78</v>
      </c>
      <c r="J24" s="48" t="s">
        <v>758</v>
      </c>
      <c r="K24" s="48" t="s">
        <v>21</v>
      </c>
      <c r="L24" s="126">
        <v>45444</v>
      </c>
      <c r="M24" s="48" t="s">
        <v>758</v>
      </c>
      <c r="N24" s="71" t="s">
        <v>2257</v>
      </c>
    </row>
    <row r="25" spans="1:14">
      <c r="A25" s="50">
        <v>25</v>
      </c>
      <c r="B25" s="56" t="s">
        <v>782</v>
      </c>
      <c r="C25" s="48" t="s">
        <v>34</v>
      </c>
      <c r="D25" s="48" t="s">
        <v>755</v>
      </c>
      <c r="E25" s="47">
        <v>100</v>
      </c>
      <c r="F25" s="46" t="s">
        <v>756</v>
      </c>
      <c r="G25" s="51" t="s">
        <v>757</v>
      </c>
      <c r="H25" s="54">
        <v>5.75</v>
      </c>
      <c r="I25" s="68">
        <f t="shared" si="0"/>
        <v>575</v>
      </c>
      <c r="J25" s="48" t="s">
        <v>758</v>
      </c>
      <c r="K25" s="48" t="s">
        <v>21</v>
      </c>
      <c r="L25" s="126">
        <v>45444</v>
      </c>
      <c r="M25" s="48" t="s">
        <v>758</v>
      </c>
      <c r="N25" s="71" t="s">
        <v>2257</v>
      </c>
    </row>
    <row r="26" spans="1:14">
      <c r="A26" s="50">
        <v>26</v>
      </c>
      <c r="B26" s="56" t="s">
        <v>783</v>
      </c>
      <c r="C26" s="48" t="s">
        <v>34</v>
      </c>
      <c r="D26" s="48" t="s">
        <v>755</v>
      </c>
      <c r="E26" s="47">
        <v>6</v>
      </c>
      <c r="F26" s="46" t="s">
        <v>756</v>
      </c>
      <c r="G26" s="48" t="s">
        <v>757</v>
      </c>
      <c r="H26" s="54">
        <v>5</v>
      </c>
      <c r="I26" s="68">
        <f t="shared" si="0"/>
        <v>30</v>
      </c>
      <c r="J26" s="48" t="s">
        <v>758</v>
      </c>
      <c r="K26" s="48" t="s">
        <v>21</v>
      </c>
      <c r="L26" s="126">
        <v>45444</v>
      </c>
      <c r="M26" s="48" t="s">
        <v>758</v>
      </c>
      <c r="N26" s="71" t="s">
        <v>2257</v>
      </c>
    </row>
    <row r="27" spans="1:14">
      <c r="A27" s="50">
        <v>27</v>
      </c>
      <c r="B27" s="56" t="s">
        <v>784</v>
      </c>
      <c r="C27" s="48" t="s">
        <v>34</v>
      </c>
      <c r="D27" s="48" t="s">
        <v>755</v>
      </c>
      <c r="E27" s="47">
        <v>6</v>
      </c>
      <c r="F27" s="46" t="s">
        <v>756</v>
      </c>
      <c r="G27" s="51" t="s">
        <v>757</v>
      </c>
      <c r="H27" s="54">
        <v>19.68</v>
      </c>
      <c r="I27" s="68">
        <f t="shared" si="0"/>
        <v>118.08</v>
      </c>
      <c r="J27" s="48" t="s">
        <v>758</v>
      </c>
      <c r="K27" s="48" t="s">
        <v>21</v>
      </c>
      <c r="L27" s="126">
        <v>45444</v>
      </c>
      <c r="M27" s="48" t="s">
        <v>758</v>
      </c>
      <c r="N27" s="71" t="s">
        <v>2257</v>
      </c>
    </row>
    <row r="28" spans="1:14">
      <c r="A28" s="50">
        <v>28</v>
      </c>
      <c r="B28" s="56" t="s">
        <v>785</v>
      </c>
      <c r="C28" s="51" t="s">
        <v>34</v>
      </c>
      <c r="D28" s="48" t="s">
        <v>755</v>
      </c>
      <c r="E28" s="47">
        <v>24</v>
      </c>
      <c r="F28" s="46" t="s">
        <v>756</v>
      </c>
      <c r="G28" s="48" t="s">
        <v>757</v>
      </c>
      <c r="H28" s="54">
        <v>9.99</v>
      </c>
      <c r="I28" s="68">
        <f t="shared" si="0"/>
        <v>239.76</v>
      </c>
      <c r="J28" s="48" t="s">
        <v>758</v>
      </c>
      <c r="K28" s="48" t="s">
        <v>21</v>
      </c>
      <c r="L28" s="126">
        <v>45444</v>
      </c>
      <c r="M28" s="48" t="s">
        <v>758</v>
      </c>
      <c r="N28" s="71" t="s">
        <v>2257</v>
      </c>
    </row>
    <row r="29" spans="1:14">
      <c r="A29" s="50">
        <v>29</v>
      </c>
      <c r="B29" s="56" t="s">
        <v>786</v>
      </c>
      <c r="C29" s="51" t="s">
        <v>34</v>
      </c>
      <c r="D29" s="48" t="s">
        <v>755</v>
      </c>
      <c r="E29" s="47">
        <v>4</v>
      </c>
      <c r="F29" s="46" t="s">
        <v>756</v>
      </c>
      <c r="G29" s="51" t="s">
        <v>757</v>
      </c>
      <c r="H29" s="54">
        <v>29.95</v>
      </c>
      <c r="I29" s="68">
        <f t="shared" si="0"/>
        <v>119.8</v>
      </c>
      <c r="J29" s="48" t="s">
        <v>758</v>
      </c>
      <c r="K29" s="48" t="s">
        <v>21</v>
      </c>
      <c r="L29" s="126">
        <v>45444</v>
      </c>
      <c r="M29" s="48" t="s">
        <v>758</v>
      </c>
      <c r="N29" s="71" t="s">
        <v>2257</v>
      </c>
    </row>
    <row r="30" spans="1:14" ht="36.75">
      <c r="A30" s="50">
        <v>30</v>
      </c>
      <c r="B30" s="60" t="s">
        <v>787</v>
      </c>
      <c r="C30" s="48" t="s">
        <v>34</v>
      </c>
      <c r="D30" s="48" t="s">
        <v>755</v>
      </c>
      <c r="E30" s="47">
        <v>4</v>
      </c>
      <c r="F30" s="46" t="s">
        <v>756</v>
      </c>
      <c r="G30" s="48" t="s">
        <v>757</v>
      </c>
      <c r="H30" s="54">
        <v>44.17</v>
      </c>
      <c r="I30" s="68">
        <f t="shared" si="0"/>
        <v>176.68</v>
      </c>
      <c r="J30" s="48" t="s">
        <v>758</v>
      </c>
      <c r="K30" s="48" t="s">
        <v>21</v>
      </c>
      <c r="L30" s="126">
        <v>45444</v>
      </c>
      <c r="M30" s="48" t="s">
        <v>758</v>
      </c>
      <c r="N30" s="71" t="s">
        <v>2257</v>
      </c>
    </row>
    <row r="31" spans="1:14" ht="36.75">
      <c r="A31" s="50">
        <v>31</v>
      </c>
      <c r="B31" s="60" t="s">
        <v>788</v>
      </c>
      <c r="C31" s="48" t="s">
        <v>34</v>
      </c>
      <c r="D31" s="48" t="s">
        <v>755</v>
      </c>
      <c r="E31" s="47">
        <v>12</v>
      </c>
      <c r="F31" s="46" t="s">
        <v>756</v>
      </c>
      <c r="G31" s="51" t="s">
        <v>757</v>
      </c>
      <c r="H31" s="54">
        <v>25</v>
      </c>
      <c r="I31" s="68">
        <f t="shared" si="0"/>
        <v>300</v>
      </c>
      <c r="J31" s="48" t="s">
        <v>758</v>
      </c>
      <c r="K31" s="48" t="s">
        <v>21</v>
      </c>
      <c r="L31" s="126">
        <v>45444</v>
      </c>
      <c r="M31" s="48" t="s">
        <v>758</v>
      </c>
      <c r="N31" s="71" t="s">
        <v>2257</v>
      </c>
    </row>
    <row r="32" spans="1:14" ht="36.75">
      <c r="A32" s="50">
        <v>32</v>
      </c>
      <c r="B32" s="60" t="s">
        <v>789</v>
      </c>
      <c r="C32" s="48" t="s">
        <v>34</v>
      </c>
      <c r="D32" s="48" t="s">
        <v>755</v>
      </c>
      <c r="E32" s="47">
        <v>6</v>
      </c>
      <c r="F32" s="46" t="s">
        <v>756</v>
      </c>
      <c r="G32" s="48" t="s">
        <v>757</v>
      </c>
      <c r="H32" s="54">
        <v>21.3</v>
      </c>
      <c r="I32" s="68">
        <f t="shared" si="0"/>
        <v>127.80000000000001</v>
      </c>
      <c r="J32" s="48" t="s">
        <v>758</v>
      </c>
      <c r="K32" s="48" t="s">
        <v>21</v>
      </c>
      <c r="L32" s="126">
        <v>45444</v>
      </c>
      <c r="M32" s="48" t="s">
        <v>758</v>
      </c>
      <c r="N32" s="71" t="s">
        <v>2257</v>
      </c>
    </row>
    <row r="33" spans="1:14">
      <c r="A33" s="50">
        <v>33</v>
      </c>
      <c r="B33" s="56" t="s">
        <v>790</v>
      </c>
      <c r="C33" s="48" t="s">
        <v>34</v>
      </c>
      <c r="D33" s="48" t="s">
        <v>755</v>
      </c>
      <c r="E33" s="47">
        <v>2</v>
      </c>
      <c r="F33" s="46" t="s">
        <v>756</v>
      </c>
      <c r="G33" s="48" t="s">
        <v>757</v>
      </c>
      <c r="H33" s="54">
        <v>113.13</v>
      </c>
      <c r="I33" s="68">
        <f t="shared" si="0"/>
        <v>226.26</v>
      </c>
      <c r="J33" s="48" t="s">
        <v>758</v>
      </c>
      <c r="K33" s="48" t="s">
        <v>21</v>
      </c>
      <c r="L33" s="126">
        <v>45444</v>
      </c>
      <c r="M33" s="48" t="s">
        <v>758</v>
      </c>
      <c r="N33" s="71" t="s">
        <v>2257</v>
      </c>
    </row>
    <row r="34" spans="1:14" ht="24.75">
      <c r="A34" s="50">
        <v>34</v>
      </c>
      <c r="B34" s="60" t="s">
        <v>791</v>
      </c>
      <c r="C34" s="48" t="s">
        <v>34</v>
      </c>
      <c r="D34" s="48" t="s">
        <v>755</v>
      </c>
      <c r="E34" s="47">
        <v>100</v>
      </c>
      <c r="F34" s="46" t="s">
        <v>756</v>
      </c>
      <c r="G34" s="48" t="s">
        <v>757</v>
      </c>
      <c r="H34" s="54">
        <v>0.2</v>
      </c>
      <c r="I34" s="68">
        <f>E34*H34</f>
        <v>20</v>
      </c>
      <c r="J34" s="48" t="s">
        <v>758</v>
      </c>
      <c r="K34" s="48" t="s">
        <v>21</v>
      </c>
      <c r="L34" s="126">
        <v>45444</v>
      </c>
      <c r="M34" s="48" t="s">
        <v>758</v>
      </c>
      <c r="N34" s="71" t="s">
        <v>2257</v>
      </c>
    </row>
    <row r="35" spans="1:14" ht="36.75">
      <c r="A35" s="50">
        <v>35</v>
      </c>
      <c r="B35" s="60" t="s">
        <v>792</v>
      </c>
      <c r="C35" s="48" t="s">
        <v>34</v>
      </c>
      <c r="D35" s="48" t="s">
        <v>755</v>
      </c>
      <c r="E35" s="47">
        <v>5</v>
      </c>
      <c r="F35" s="46" t="s">
        <v>756</v>
      </c>
      <c r="G35" s="48" t="s">
        <v>757</v>
      </c>
      <c r="H35" s="54">
        <v>18.739999999999998</v>
      </c>
      <c r="I35" s="68">
        <f>E35*H35</f>
        <v>93.699999999999989</v>
      </c>
      <c r="J35" s="48" t="s">
        <v>758</v>
      </c>
      <c r="K35" s="48" t="s">
        <v>21</v>
      </c>
      <c r="L35" s="126">
        <v>45444</v>
      </c>
      <c r="M35" s="48" t="s">
        <v>758</v>
      </c>
      <c r="N35" s="71" t="s">
        <v>2257</v>
      </c>
    </row>
    <row r="36" spans="1:14" ht="48.75">
      <c r="A36" s="50">
        <v>36</v>
      </c>
      <c r="B36" s="60" t="s">
        <v>793</v>
      </c>
      <c r="C36" s="48" t="s">
        <v>34</v>
      </c>
      <c r="D36" s="48" t="s">
        <v>755</v>
      </c>
      <c r="E36" s="47">
        <v>20</v>
      </c>
      <c r="F36" s="47" t="s">
        <v>794</v>
      </c>
      <c r="G36" s="48" t="s">
        <v>757</v>
      </c>
      <c r="H36" s="54">
        <v>14.89</v>
      </c>
      <c r="I36" s="68">
        <f>E36*H36</f>
        <v>297.8</v>
      </c>
      <c r="J36" s="48" t="s">
        <v>758</v>
      </c>
      <c r="K36" s="48" t="s">
        <v>21</v>
      </c>
      <c r="L36" s="126">
        <v>45444</v>
      </c>
      <c r="M36" s="48" t="s">
        <v>758</v>
      </c>
      <c r="N36" s="71" t="s">
        <v>2257</v>
      </c>
    </row>
    <row r="37" spans="1:14" ht="24.75">
      <c r="A37" s="50">
        <v>37</v>
      </c>
      <c r="B37" s="60" t="s">
        <v>795</v>
      </c>
      <c r="C37" s="48" t="s">
        <v>34</v>
      </c>
      <c r="D37" s="48" t="s">
        <v>755</v>
      </c>
      <c r="E37" s="47">
        <v>12</v>
      </c>
      <c r="F37" s="47" t="s">
        <v>756</v>
      </c>
      <c r="G37" s="48" t="s">
        <v>757</v>
      </c>
      <c r="H37" s="54">
        <v>3.6</v>
      </c>
      <c r="I37" s="68">
        <f>E37*H37</f>
        <v>43.2</v>
      </c>
      <c r="J37" s="48" t="s">
        <v>758</v>
      </c>
      <c r="K37" s="48" t="s">
        <v>21</v>
      </c>
      <c r="L37" s="126">
        <v>45444</v>
      </c>
      <c r="M37" s="48" t="s">
        <v>758</v>
      </c>
      <c r="N37" s="71" t="s">
        <v>2257</v>
      </c>
    </row>
    <row r="38" spans="1:14">
      <c r="A38" s="50">
        <v>38</v>
      </c>
      <c r="B38" s="56" t="s">
        <v>2262</v>
      </c>
      <c r="C38" s="48" t="s">
        <v>34</v>
      </c>
      <c r="D38" s="48" t="s">
        <v>168</v>
      </c>
      <c r="E38" s="48">
        <v>5</v>
      </c>
      <c r="F38" s="48" t="s">
        <v>756</v>
      </c>
      <c r="G38" s="48" t="s">
        <v>757</v>
      </c>
      <c r="H38" s="64">
        <v>184</v>
      </c>
      <c r="I38" s="66">
        <f>E38*H38</f>
        <v>920</v>
      </c>
      <c r="J38" s="48" t="s">
        <v>20</v>
      </c>
      <c r="K38" s="48" t="s">
        <v>21</v>
      </c>
      <c r="L38" s="126">
        <v>45444</v>
      </c>
      <c r="M38" s="48" t="s">
        <v>758</v>
      </c>
      <c r="N38" s="71" t="s">
        <v>2263</v>
      </c>
    </row>
    <row r="39" spans="1:14" ht="60.75">
      <c r="A39" s="50">
        <v>39</v>
      </c>
      <c r="B39" s="60" t="s">
        <v>2264</v>
      </c>
      <c r="C39" s="48" t="s">
        <v>34</v>
      </c>
      <c r="D39" s="48" t="s">
        <v>168</v>
      </c>
      <c r="E39" s="48">
        <v>4</v>
      </c>
      <c r="F39" s="48" t="s">
        <v>756</v>
      </c>
      <c r="G39" s="48" t="s">
        <v>757</v>
      </c>
      <c r="H39" s="61">
        <v>32.159999999999997</v>
      </c>
      <c r="I39" s="66">
        <f t="shared" ref="I39:I52" si="1">E39*H39</f>
        <v>128.63999999999999</v>
      </c>
      <c r="J39" s="48" t="s">
        <v>20</v>
      </c>
      <c r="K39" s="48" t="s">
        <v>21</v>
      </c>
      <c r="L39" s="126">
        <v>45444</v>
      </c>
      <c r="M39" s="48" t="s">
        <v>758</v>
      </c>
      <c r="N39" s="71" t="s">
        <v>2263</v>
      </c>
    </row>
    <row r="40" spans="1:14" ht="60.75">
      <c r="A40" s="50">
        <v>40</v>
      </c>
      <c r="B40" s="128" t="s">
        <v>2265</v>
      </c>
      <c r="C40" s="48" t="s">
        <v>34</v>
      </c>
      <c r="D40" s="48" t="s">
        <v>168</v>
      </c>
      <c r="E40" s="48">
        <v>1</v>
      </c>
      <c r="F40" s="48" t="s">
        <v>756</v>
      </c>
      <c r="G40" s="48" t="s">
        <v>757</v>
      </c>
      <c r="H40" s="64">
        <v>499.9</v>
      </c>
      <c r="I40" s="66">
        <f t="shared" si="1"/>
        <v>499.9</v>
      </c>
      <c r="J40" s="48" t="s">
        <v>20</v>
      </c>
      <c r="K40" s="48" t="s">
        <v>21</v>
      </c>
      <c r="L40" s="126">
        <v>45444</v>
      </c>
      <c r="M40" s="48" t="s">
        <v>758</v>
      </c>
      <c r="N40" s="71" t="s">
        <v>2263</v>
      </c>
    </row>
    <row r="41" spans="1:14" ht="48.75">
      <c r="A41" s="50">
        <v>41</v>
      </c>
      <c r="B41" s="60" t="s">
        <v>2266</v>
      </c>
      <c r="C41" s="48" t="s">
        <v>34</v>
      </c>
      <c r="D41" s="48" t="s">
        <v>168</v>
      </c>
      <c r="E41" s="48">
        <v>2</v>
      </c>
      <c r="F41" s="48" t="s">
        <v>756</v>
      </c>
      <c r="G41" s="48" t="s">
        <v>757</v>
      </c>
      <c r="H41" s="64">
        <v>271.51</v>
      </c>
      <c r="I41" s="66">
        <f t="shared" si="1"/>
        <v>543.02</v>
      </c>
      <c r="J41" s="48" t="s">
        <v>20</v>
      </c>
      <c r="K41" s="48" t="s">
        <v>21</v>
      </c>
      <c r="L41" s="126">
        <v>45444</v>
      </c>
      <c r="M41" s="48" t="s">
        <v>758</v>
      </c>
      <c r="N41" s="71" t="s">
        <v>2263</v>
      </c>
    </row>
    <row r="42" spans="1:14" ht="24.75">
      <c r="A42" s="50">
        <v>42</v>
      </c>
      <c r="B42" s="60" t="s">
        <v>2267</v>
      </c>
      <c r="C42" s="48" t="s">
        <v>34</v>
      </c>
      <c r="D42" s="48" t="s">
        <v>168</v>
      </c>
      <c r="E42" s="48">
        <v>2</v>
      </c>
      <c r="F42" s="48" t="s">
        <v>756</v>
      </c>
      <c r="G42" s="48" t="s">
        <v>757</v>
      </c>
      <c r="H42" s="61">
        <v>31.6</v>
      </c>
      <c r="I42" s="66">
        <f t="shared" si="1"/>
        <v>63.2</v>
      </c>
      <c r="J42" s="48" t="s">
        <v>20</v>
      </c>
      <c r="K42" s="48" t="s">
        <v>21</v>
      </c>
      <c r="L42" s="126">
        <v>45444</v>
      </c>
      <c r="M42" s="48" t="s">
        <v>758</v>
      </c>
      <c r="N42" s="71" t="s">
        <v>2263</v>
      </c>
    </row>
    <row r="43" spans="1:14" ht="24.75">
      <c r="A43" s="50">
        <v>43</v>
      </c>
      <c r="B43" s="60" t="s">
        <v>2268</v>
      </c>
      <c r="C43" s="48" t="s">
        <v>34</v>
      </c>
      <c r="D43" s="48" t="s">
        <v>168</v>
      </c>
      <c r="E43" s="48">
        <v>5</v>
      </c>
      <c r="F43" s="48" t="s">
        <v>756</v>
      </c>
      <c r="G43" s="48" t="s">
        <v>757</v>
      </c>
      <c r="H43" s="61">
        <v>19</v>
      </c>
      <c r="I43" s="66">
        <f t="shared" si="1"/>
        <v>95</v>
      </c>
      <c r="J43" s="48" t="s">
        <v>20</v>
      </c>
      <c r="K43" s="48" t="s">
        <v>21</v>
      </c>
      <c r="L43" s="126">
        <v>45444</v>
      </c>
      <c r="M43" s="48" t="s">
        <v>758</v>
      </c>
      <c r="N43" s="71" t="s">
        <v>2263</v>
      </c>
    </row>
    <row r="44" spans="1:14">
      <c r="A44" s="50">
        <v>44</v>
      </c>
      <c r="B44" s="60" t="s">
        <v>2269</v>
      </c>
      <c r="C44" s="48" t="s">
        <v>34</v>
      </c>
      <c r="D44" s="48" t="s">
        <v>168</v>
      </c>
      <c r="E44" s="48">
        <v>5</v>
      </c>
      <c r="F44" s="48" t="s">
        <v>756</v>
      </c>
      <c r="G44" s="48" t="s">
        <v>757</v>
      </c>
      <c r="H44" s="61">
        <v>34.99</v>
      </c>
      <c r="I44" s="66">
        <f t="shared" si="1"/>
        <v>174.95000000000002</v>
      </c>
      <c r="J44" s="48" t="s">
        <v>20</v>
      </c>
      <c r="K44" s="48" t="s">
        <v>21</v>
      </c>
      <c r="L44" s="126">
        <v>45444</v>
      </c>
      <c r="M44" s="48" t="s">
        <v>758</v>
      </c>
      <c r="N44" s="71" t="s">
        <v>2263</v>
      </c>
    </row>
    <row r="45" spans="1:14" ht="60.75">
      <c r="A45" s="50">
        <v>45</v>
      </c>
      <c r="B45" s="60" t="s">
        <v>2270</v>
      </c>
      <c r="C45" s="48" t="s">
        <v>34</v>
      </c>
      <c r="D45" s="48" t="s">
        <v>168</v>
      </c>
      <c r="E45" s="48">
        <v>1</v>
      </c>
      <c r="F45" s="48" t="s">
        <v>756</v>
      </c>
      <c r="G45" s="48" t="s">
        <v>757</v>
      </c>
      <c r="H45" s="61">
        <v>59.99</v>
      </c>
      <c r="I45" s="66">
        <f t="shared" si="1"/>
        <v>59.99</v>
      </c>
      <c r="J45" s="48" t="s">
        <v>20</v>
      </c>
      <c r="K45" s="48" t="s">
        <v>21</v>
      </c>
      <c r="L45" s="126">
        <v>45444</v>
      </c>
      <c r="M45" s="48" t="s">
        <v>758</v>
      </c>
      <c r="N45" s="71" t="s">
        <v>2263</v>
      </c>
    </row>
    <row r="46" spans="1:14" ht="24.75">
      <c r="A46" s="50">
        <v>46</v>
      </c>
      <c r="B46" s="60" t="s">
        <v>2271</v>
      </c>
      <c r="C46" s="48" t="s">
        <v>34</v>
      </c>
      <c r="D46" s="48" t="s">
        <v>168</v>
      </c>
      <c r="E46" s="48">
        <v>2</v>
      </c>
      <c r="F46" s="48" t="s">
        <v>756</v>
      </c>
      <c r="G46" s="48" t="s">
        <v>757</v>
      </c>
      <c r="H46" s="61">
        <v>37.49</v>
      </c>
      <c r="I46" s="66">
        <f t="shared" si="1"/>
        <v>74.98</v>
      </c>
      <c r="J46" s="48" t="s">
        <v>20</v>
      </c>
      <c r="K46" s="48" t="s">
        <v>21</v>
      </c>
      <c r="L46" s="126">
        <v>45444</v>
      </c>
      <c r="M46" s="48" t="s">
        <v>758</v>
      </c>
      <c r="N46" s="71" t="s">
        <v>2263</v>
      </c>
    </row>
    <row r="47" spans="1:14">
      <c r="A47" s="50">
        <v>47</v>
      </c>
      <c r="B47" s="60" t="s">
        <v>2272</v>
      </c>
      <c r="C47" s="48" t="s">
        <v>34</v>
      </c>
      <c r="D47" s="48" t="s">
        <v>168</v>
      </c>
      <c r="E47" s="48">
        <v>2</v>
      </c>
      <c r="F47" s="48" t="s">
        <v>756</v>
      </c>
      <c r="G47" s="48" t="s">
        <v>757</v>
      </c>
      <c r="H47" s="61">
        <v>26.64</v>
      </c>
      <c r="I47" s="66">
        <f t="shared" si="1"/>
        <v>53.28</v>
      </c>
      <c r="J47" s="48" t="s">
        <v>20</v>
      </c>
      <c r="K47" s="48" t="s">
        <v>21</v>
      </c>
      <c r="L47" s="126">
        <v>45444</v>
      </c>
      <c r="M47" s="48" t="s">
        <v>758</v>
      </c>
      <c r="N47" s="71" t="s">
        <v>2263</v>
      </c>
    </row>
    <row r="48" spans="1:14">
      <c r="A48" s="50">
        <v>48</v>
      </c>
      <c r="B48" s="60" t="s">
        <v>2273</v>
      </c>
      <c r="C48" s="48" t="s">
        <v>34</v>
      </c>
      <c r="D48" s="48" t="s">
        <v>168</v>
      </c>
      <c r="E48" s="48">
        <v>6</v>
      </c>
      <c r="F48" s="48" t="s">
        <v>756</v>
      </c>
      <c r="G48" s="48" t="s">
        <v>757</v>
      </c>
      <c r="H48" s="61">
        <v>49.89</v>
      </c>
      <c r="I48" s="66">
        <f t="shared" si="1"/>
        <v>299.34000000000003</v>
      </c>
      <c r="J48" s="48" t="s">
        <v>20</v>
      </c>
      <c r="K48" s="48" t="s">
        <v>21</v>
      </c>
      <c r="L48" s="126">
        <v>45444</v>
      </c>
      <c r="M48" s="48" t="s">
        <v>758</v>
      </c>
      <c r="N48" s="71" t="s">
        <v>2263</v>
      </c>
    </row>
    <row r="49" spans="1:14">
      <c r="A49" s="50">
        <v>49</v>
      </c>
      <c r="B49" s="60" t="s">
        <v>2274</v>
      </c>
      <c r="C49" s="48" t="s">
        <v>34</v>
      </c>
      <c r="D49" s="48" t="s">
        <v>168</v>
      </c>
      <c r="E49" s="48">
        <v>1</v>
      </c>
      <c r="F49" s="48" t="s">
        <v>756</v>
      </c>
      <c r="G49" s="48" t="s">
        <v>757</v>
      </c>
      <c r="H49" s="61">
        <v>43.89</v>
      </c>
      <c r="I49" s="66">
        <f t="shared" si="1"/>
        <v>43.89</v>
      </c>
      <c r="J49" s="48" t="s">
        <v>20</v>
      </c>
      <c r="K49" s="48" t="s">
        <v>21</v>
      </c>
      <c r="L49" s="126">
        <v>45444</v>
      </c>
      <c r="M49" s="48" t="s">
        <v>758</v>
      </c>
      <c r="N49" s="71" t="s">
        <v>2263</v>
      </c>
    </row>
    <row r="50" spans="1:14" ht="36.75">
      <c r="A50" s="50">
        <v>50</v>
      </c>
      <c r="B50" s="60" t="s">
        <v>2275</v>
      </c>
      <c r="C50" s="48" t="s">
        <v>34</v>
      </c>
      <c r="D50" s="48" t="s">
        <v>168</v>
      </c>
      <c r="E50" s="48">
        <v>5</v>
      </c>
      <c r="F50" s="48" t="s">
        <v>756</v>
      </c>
      <c r="G50" s="48" t="s">
        <v>757</v>
      </c>
      <c r="H50" s="61">
        <v>72.069999999999993</v>
      </c>
      <c r="I50" s="66">
        <f t="shared" si="1"/>
        <v>360.34999999999997</v>
      </c>
      <c r="J50" s="48" t="s">
        <v>20</v>
      </c>
      <c r="K50" s="48" t="s">
        <v>21</v>
      </c>
      <c r="L50" s="126">
        <v>45444</v>
      </c>
      <c r="M50" s="48" t="s">
        <v>758</v>
      </c>
      <c r="N50" s="71" t="s">
        <v>2263</v>
      </c>
    </row>
    <row r="51" spans="1:14">
      <c r="A51" s="50">
        <v>51</v>
      </c>
      <c r="B51" s="60" t="s">
        <v>2276</v>
      </c>
      <c r="C51" s="48" t="s">
        <v>34</v>
      </c>
      <c r="D51" s="48" t="s">
        <v>168</v>
      </c>
      <c r="E51" s="48">
        <v>2</v>
      </c>
      <c r="F51" s="48" t="s">
        <v>756</v>
      </c>
      <c r="G51" s="48" t="s">
        <v>757</v>
      </c>
      <c r="H51" s="61">
        <v>59.99</v>
      </c>
      <c r="I51" s="66">
        <f t="shared" si="1"/>
        <v>119.98</v>
      </c>
      <c r="J51" s="48" t="s">
        <v>20</v>
      </c>
      <c r="K51" s="48" t="s">
        <v>21</v>
      </c>
      <c r="L51" s="126">
        <v>45444</v>
      </c>
      <c r="M51" s="48" t="s">
        <v>758</v>
      </c>
      <c r="N51" s="71" t="s">
        <v>2263</v>
      </c>
    </row>
    <row r="52" spans="1:14" ht="24.75">
      <c r="A52" s="50">
        <v>52</v>
      </c>
      <c r="B52" s="60" t="s">
        <v>2277</v>
      </c>
      <c r="C52" s="48" t="s">
        <v>34</v>
      </c>
      <c r="D52" s="48" t="s">
        <v>168</v>
      </c>
      <c r="E52" s="48">
        <v>5</v>
      </c>
      <c r="F52" s="48" t="s">
        <v>756</v>
      </c>
      <c r="G52" s="48" t="s">
        <v>757</v>
      </c>
      <c r="H52" s="61">
        <v>40.81</v>
      </c>
      <c r="I52" s="66">
        <f t="shared" si="1"/>
        <v>204.05</v>
      </c>
      <c r="J52" s="48" t="s">
        <v>20</v>
      </c>
      <c r="K52" s="48" t="s">
        <v>21</v>
      </c>
      <c r="L52" s="126">
        <v>45444</v>
      </c>
      <c r="M52" s="48" t="s">
        <v>758</v>
      </c>
      <c r="N52" s="71" t="s">
        <v>2263</v>
      </c>
    </row>
    <row r="53" spans="1:14">
      <c r="A53" s="50">
        <v>53</v>
      </c>
      <c r="B53" s="129" t="s">
        <v>2278</v>
      </c>
      <c r="C53" s="48" t="s">
        <v>34</v>
      </c>
      <c r="D53" s="48" t="s">
        <v>811</v>
      </c>
      <c r="E53" s="48">
        <v>250</v>
      </c>
      <c r="F53" s="48" t="s">
        <v>756</v>
      </c>
      <c r="G53" s="48" t="s">
        <v>757</v>
      </c>
      <c r="H53" s="130">
        <v>8</v>
      </c>
      <c r="I53" s="66">
        <f>E53*H53</f>
        <v>2000</v>
      </c>
      <c r="J53" s="48" t="s">
        <v>20</v>
      </c>
      <c r="K53" s="48" t="s">
        <v>21</v>
      </c>
      <c r="L53" s="126">
        <v>45444</v>
      </c>
      <c r="M53" s="48" t="s">
        <v>758</v>
      </c>
      <c r="N53" s="71" t="s">
        <v>2263</v>
      </c>
    </row>
    <row r="54" spans="1:14" ht="108">
      <c r="A54" s="50">
        <v>54</v>
      </c>
      <c r="B54" s="131" t="s">
        <v>2279</v>
      </c>
      <c r="C54" s="48" t="s">
        <v>34</v>
      </c>
      <c r="D54" s="48" t="s">
        <v>811</v>
      </c>
      <c r="E54" s="48">
        <v>100</v>
      </c>
      <c r="F54" s="48" t="s">
        <v>756</v>
      </c>
      <c r="G54" s="48" t="s">
        <v>757</v>
      </c>
      <c r="H54" s="54">
        <v>51.5</v>
      </c>
      <c r="I54" s="66">
        <f t="shared" ref="I54:I62" si="2">E54*H54</f>
        <v>5150</v>
      </c>
      <c r="J54" s="48" t="s">
        <v>20</v>
      </c>
      <c r="K54" s="48" t="s">
        <v>21</v>
      </c>
      <c r="L54" s="126">
        <v>45444</v>
      </c>
      <c r="M54" s="48" t="s">
        <v>758</v>
      </c>
      <c r="N54" s="71" t="s">
        <v>2263</v>
      </c>
    </row>
    <row r="55" spans="1:14">
      <c r="A55" s="50">
        <v>55</v>
      </c>
      <c r="B55" s="132" t="s">
        <v>2280</v>
      </c>
      <c r="C55" s="48" t="s">
        <v>34</v>
      </c>
      <c r="D55" s="48" t="s">
        <v>811</v>
      </c>
      <c r="E55" s="48">
        <v>200</v>
      </c>
      <c r="F55" s="48" t="s">
        <v>2281</v>
      </c>
      <c r="G55" s="48" t="s">
        <v>757</v>
      </c>
      <c r="H55" s="130">
        <v>36.83</v>
      </c>
      <c r="I55" s="66">
        <f t="shared" si="2"/>
        <v>7366</v>
      </c>
      <c r="J55" s="48" t="s">
        <v>20</v>
      </c>
      <c r="K55" s="48" t="s">
        <v>21</v>
      </c>
      <c r="L55" s="126">
        <v>45444</v>
      </c>
      <c r="M55" s="48" t="s">
        <v>758</v>
      </c>
      <c r="N55" s="71" t="s">
        <v>2263</v>
      </c>
    </row>
    <row r="56" spans="1:14" ht="24">
      <c r="A56" s="50">
        <v>56</v>
      </c>
      <c r="B56" s="131" t="s">
        <v>2282</v>
      </c>
      <c r="C56" s="48" t="s">
        <v>34</v>
      </c>
      <c r="D56" s="48" t="s">
        <v>811</v>
      </c>
      <c r="E56" s="48">
        <v>100</v>
      </c>
      <c r="F56" s="48" t="s">
        <v>2281</v>
      </c>
      <c r="G56" s="48" t="s">
        <v>757</v>
      </c>
      <c r="H56" s="130">
        <v>33.65</v>
      </c>
      <c r="I56" s="66">
        <f t="shared" si="2"/>
        <v>3365</v>
      </c>
      <c r="J56" s="48" t="s">
        <v>20</v>
      </c>
      <c r="K56" s="48" t="s">
        <v>21</v>
      </c>
      <c r="L56" s="126">
        <v>45444</v>
      </c>
      <c r="M56" s="48" t="s">
        <v>758</v>
      </c>
      <c r="N56" s="71" t="s">
        <v>2263</v>
      </c>
    </row>
    <row r="57" spans="1:14">
      <c r="A57" s="50">
        <v>57</v>
      </c>
      <c r="B57" s="131" t="s">
        <v>2283</v>
      </c>
      <c r="C57" s="48" t="s">
        <v>34</v>
      </c>
      <c r="D57" s="48" t="s">
        <v>811</v>
      </c>
      <c r="E57" s="48">
        <v>100</v>
      </c>
      <c r="F57" s="48" t="s">
        <v>756</v>
      </c>
      <c r="G57" s="48" t="s">
        <v>757</v>
      </c>
      <c r="H57" s="54">
        <v>11.08</v>
      </c>
      <c r="I57" s="66">
        <f t="shared" si="2"/>
        <v>1108</v>
      </c>
      <c r="J57" s="48" t="s">
        <v>20</v>
      </c>
      <c r="K57" s="48" t="s">
        <v>21</v>
      </c>
      <c r="L57" s="126">
        <v>45444</v>
      </c>
      <c r="M57" s="48" t="s">
        <v>758</v>
      </c>
      <c r="N57" s="71" t="s">
        <v>2263</v>
      </c>
    </row>
    <row r="58" spans="1:14">
      <c r="A58" s="50">
        <v>58</v>
      </c>
      <c r="B58" s="131" t="s">
        <v>2284</v>
      </c>
      <c r="C58" s="48" t="s">
        <v>34</v>
      </c>
      <c r="D58" s="48" t="s">
        <v>811</v>
      </c>
      <c r="E58" s="48">
        <v>100</v>
      </c>
      <c r="F58" s="48" t="s">
        <v>2281</v>
      </c>
      <c r="G58" s="48" t="s">
        <v>757</v>
      </c>
      <c r="H58" s="54">
        <v>60</v>
      </c>
      <c r="I58" s="66">
        <f t="shared" si="2"/>
        <v>6000</v>
      </c>
      <c r="J58" s="48" t="s">
        <v>20</v>
      </c>
      <c r="K58" s="48" t="s">
        <v>21</v>
      </c>
      <c r="L58" s="126">
        <v>45444</v>
      </c>
      <c r="M58" s="48" t="s">
        <v>758</v>
      </c>
      <c r="N58" s="71" t="s">
        <v>2263</v>
      </c>
    </row>
    <row r="59" spans="1:14">
      <c r="A59" s="50">
        <v>59</v>
      </c>
      <c r="B59" s="131" t="s">
        <v>2285</v>
      </c>
      <c r="C59" s="48" t="s">
        <v>34</v>
      </c>
      <c r="D59" s="48" t="s">
        <v>811</v>
      </c>
      <c r="E59" s="48">
        <v>50</v>
      </c>
      <c r="F59" s="48" t="s">
        <v>2281</v>
      </c>
      <c r="G59" s="48" t="s">
        <v>757</v>
      </c>
      <c r="H59" s="54">
        <v>23.76</v>
      </c>
      <c r="I59" s="66">
        <f t="shared" si="2"/>
        <v>1188</v>
      </c>
      <c r="J59" s="48" t="s">
        <v>20</v>
      </c>
      <c r="K59" s="48" t="s">
        <v>21</v>
      </c>
      <c r="L59" s="126">
        <v>45444</v>
      </c>
      <c r="M59" s="48" t="s">
        <v>758</v>
      </c>
      <c r="N59" s="71" t="s">
        <v>2263</v>
      </c>
    </row>
    <row r="60" spans="1:14" ht="36">
      <c r="A60" s="50">
        <v>60</v>
      </c>
      <c r="B60" s="131" t="s">
        <v>2286</v>
      </c>
      <c r="C60" s="48" t="s">
        <v>34</v>
      </c>
      <c r="D60" s="48" t="s">
        <v>811</v>
      </c>
      <c r="E60" s="48">
        <v>200</v>
      </c>
      <c r="F60" s="48" t="s">
        <v>2281</v>
      </c>
      <c r="G60" s="48" t="s">
        <v>757</v>
      </c>
      <c r="H60" s="54">
        <v>40.75</v>
      </c>
      <c r="I60" s="66">
        <f t="shared" si="2"/>
        <v>8150</v>
      </c>
      <c r="J60" s="48" t="s">
        <v>20</v>
      </c>
      <c r="K60" s="48" t="s">
        <v>21</v>
      </c>
      <c r="L60" s="126">
        <v>45444</v>
      </c>
      <c r="M60" s="48" t="s">
        <v>758</v>
      </c>
      <c r="N60" s="71" t="s">
        <v>2263</v>
      </c>
    </row>
    <row r="61" spans="1:14" ht="36">
      <c r="A61" s="50">
        <v>61</v>
      </c>
      <c r="B61" s="131" t="s">
        <v>2287</v>
      </c>
      <c r="C61" s="48" t="s">
        <v>34</v>
      </c>
      <c r="D61" s="48" t="s">
        <v>811</v>
      </c>
      <c r="E61" s="48">
        <v>150</v>
      </c>
      <c r="F61" s="48" t="s">
        <v>2281</v>
      </c>
      <c r="G61" s="48" t="s">
        <v>757</v>
      </c>
      <c r="H61" s="54">
        <v>31.33</v>
      </c>
      <c r="I61" s="66">
        <f t="shared" si="2"/>
        <v>4699.5</v>
      </c>
      <c r="J61" s="48" t="s">
        <v>20</v>
      </c>
      <c r="K61" s="48" t="s">
        <v>21</v>
      </c>
      <c r="L61" s="126">
        <v>45444</v>
      </c>
      <c r="M61" s="48" t="s">
        <v>758</v>
      </c>
      <c r="N61" s="71" t="s">
        <v>2263</v>
      </c>
    </row>
    <row r="62" spans="1:14" ht="24">
      <c r="A62" s="50">
        <v>62</v>
      </c>
      <c r="B62" s="131" t="s">
        <v>2288</v>
      </c>
      <c r="C62" s="48" t="s">
        <v>34</v>
      </c>
      <c r="D62" s="48" t="s">
        <v>811</v>
      </c>
      <c r="E62" s="48">
        <v>200</v>
      </c>
      <c r="F62" s="48" t="s">
        <v>756</v>
      </c>
      <c r="G62" s="48" t="s">
        <v>757</v>
      </c>
      <c r="H62" s="54">
        <v>12</v>
      </c>
      <c r="I62" s="66">
        <f t="shared" si="2"/>
        <v>2400</v>
      </c>
      <c r="J62" s="48" t="s">
        <v>20</v>
      </c>
      <c r="K62" s="48" t="s">
        <v>21</v>
      </c>
      <c r="L62" s="126">
        <v>45444</v>
      </c>
      <c r="M62" s="48" t="s">
        <v>758</v>
      </c>
      <c r="N62" s="71" t="s">
        <v>2263</v>
      </c>
    </row>
    <row r="63" spans="1:14">
      <c r="A63" s="50">
        <v>63</v>
      </c>
      <c r="B63" s="60" t="s">
        <v>2250</v>
      </c>
      <c r="C63" s="48" t="s">
        <v>34</v>
      </c>
      <c r="D63" s="48" t="s">
        <v>168</v>
      </c>
      <c r="E63" s="48">
        <v>1</v>
      </c>
      <c r="F63" s="48" t="s">
        <v>756</v>
      </c>
      <c r="G63" s="48" t="s">
        <v>757</v>
      </c>
      <c r="H63" s="53">
        <v>80000</v>
      </c>
      <c r="I63" s="51"/>
      <c r="J63" s="48" t="s">
        <v>20</v>
      </c>
      <c r="K63" s="48" t="s">
        <v>21</v>
      </c>
      <c r="L63" s="126">
        <v>45444</v>
      </c>
      <c r="M63" s="48" t="s">
        <v>758</v>
      </c>
      <c r="N63" s="71" t="s">
        <v>2263</v>
      </c>
    </row>
    <row r="64" spans="1:14">
      <c r="A64" s="50">
        <v>64</v>
      </c>
      <c r="B64" s="56" t="s">
        <v>804</v>
      </c>
      <c r="C64" s="48" t="s">
        <v>34</v>
      </c>
      <c r="D64" s="48" t="s">
        <v>805</v>
      </c>
      <c r="E64" s="48">
        <v>1</v>
      </c>
      <c r="F64" s="48" t="s">
        <v>756</v>
      </c>
      <c r="G64" s="48" t="s">
        <v>757</v>
      </c>
      <c r="H64" s="68">
        <v>350</v>
      </c>
      <c r="I64" s="68">
        <f t="shared" ref="I64:I108" si="3">E64*H64</f>
        <v>350</v>
      </c>
      <c r="J64" s="48" t="s">
        <v>758</v>
      </c>
      <c r="K64" s="48" t="s">
        <v>21</v>
      </c>
      <c r="L64" s="126">
        <v>45444</v>
      </c>
      <c r="M64" s="48" t="s">
        <v>758</v>
      </c>
      <c r="N64" s="71" t="s">
        <v>2257</v>
      </c>
    </row>
    <row r="65" spans="1:14" ht="36.75">
      <c r="A65" s="50">
        <v>65</v>
      </c>
      <c r="B65" s="60" t="s">
        <v>806</v>
      </c>
      <c r="C65" s="48" t="s">
        <v>34</v>
      </c>
      <c r="D65" s="48" t="s">
        <v>168</v>
      </c>
      <c r="E65" s="48">
        <v>1</v>
      </c>
      <c r="F65" s="48" t="s">
        <v>756</v>
      </c>
      <c r="G65" s="48" t="s">
        <v>757</v>
      </c>
      <c r="H65" s="68">
        <v>6500</v>
      </c>
      <c r="I65" s="68">
        <f t="shared" si="3"/>
        <v>6500</v>
      </c>
      <c r="J65" s="48" t="s">
        <v>758</v>
      </c>
      <c r="K65" s="48" t="s">
        <v>21</v>
      </c>
      <c r="L65" s="126">
        <v>45444</v>
      </c>
      <c r="M65" s="48" t="s">
        <v>758</v>
      </c>
      <c r="N65" s="71" t="s">
        <v>2257</v>
      </c>
    </row>
    <row r="66" spans="1:14" ht="45">
      <c r="A66" s="50">
        <v>66</v>
      </c>
      <c r="B66" s="133" t="s">
        <v>2289</v>
      </c>
      <c r="C66" s="48" t="s">
        <v>34</v>
      </c>
      <c r="D66" s="48" t="s">
        <v>168</v>
      </c>
      <c r="E66" s="48">
        <v>6</v>
      </c>
      <c r="F66" s="48" t="s">
        <v>756</v>
      </c>
      <c r="G66" s="48" t="s">
        <v>757</v>
      </c>
      <c r="H66" s="62">
        <v>297.98</v>
      </c>
      <c r="I66" s="68">
        <f t="shared" si="3"/>
        <v>1787.88</v>
      </c>
      <c r="J66" s="48" t="s">
        <v>758</v>
      </c>
      <c r="K66" s="48" t="s">
        <v>21</v>
      </c>
      <c r="L66" s="126">
        <v>45444</v>
      </c>
      <c r="M66" s="48" t="s">
        <v>758</v>
      </c>
      <c r="N66" s="71" t="s">
        <v>2257</v>
      </c>
    </row>
    <row r="67" spans="1:14">
      <c r="A67" s="50">
        <v>67</v>
      </c>
      <c r="B67" s="63" t="s">
        <v>809</v>
      </c>
      <c r="C67" s="48" t="s">
        <v>34</v>
      </c>
      <c r="D67" s="48" t="s">
        <v>168</v>
      </c>
      <c r="E67" s="52">
        <v>6</v>
      </c>
      <c r="F67" s="48" t="s">
        <v>756</v>
      </c>
      <c r="G67" s="48" t="s">
        <v>757</v>
      </c>
      <c r="H67" s="68">
        <v>50</v>
      </c>
      <c r="I67" s="68">
        <f t="shared" si="3"/>
        <v>300</v>
      </c>
      <c r="J67" s="48" t="s">
        <v>758</v>
      </c>
      <c r="K67" s="48" t="s">
        <v>21</v>
      </c>
      <c r="L67" s="126">
        <v>45444</v>
      </c>
      <c r="M67" s="48" t="s">
        <v>758</v>
      </c>
      <c r="N67" s="71" t="s">
        <v>2257</v>
      </c>
    </row>
    <row r="68" spans="1:14" ht="60">
      <c r="A68" s="50">
        <v>68</v>
      </c>
      <c r="B68" s="134" t="s">
        <v>2290</v>
      </c>
      <c r="C68" s="46" t="s">
        <v>34</v>
      </c>
      <c r="D68" s="48" t="s">
        <v>168</v>
      </c>
      <c r="E68" s="47">
        <v>1</v>
      </c>
      <c r="F68" s="48" t="s">
        <v>756</v>
      </c>
      <c r="G68" s="48" t="s">
        <v>757</v>
      </c>
      <c r="H68" s="68">
        <v>729.9</v>
      </c>
      <c r="I68" s="68">
        <f t="shared" si="3"/>
        <v>729.9</v>
      </c>
      <c r="J68" s="48" t="s">
        <v>758</v>
      </c>
      <c r="K68" s="48" t="s">
        <v>21</v>
      </c>
      <c r="L68" s="126">
        <v>45444</v>
      </c>
      <c r="M68" s="48" t="s">
        <v>758</v>
      </c>
      <c r="N68" s="71" t="s">
        <v>2257</v>
      </c>
    </row>
    <row r="69" spans="1:14">
      <c r="A69" s="50">
        <v>69</v>
      </c>
      <c r="B69" s="55" t="s">
        <v>808</v>
      </c>
      <c r="C69" s="48" t="s">
        <v>34</v>
      </c>
      <c r="D69" s="48" t="s">
        <v>168</v>
      </c>
      <c r="E69" s="48">
        <v>4</v>
      </c>
      <c r="F69" s="48" t="s">
        <v>756</v>
      </c>
      <c r="G69" s="48" t="s">
        <v>757</v>
      </c>
      <c r="H69" s="68">
        <v>289.89999999999998</v>
      </c>
      <c r="I69" s="68">
        <f t="shared" si="3"/>
        <v>1159.5999999999999</v>
      </c>
      <c r="J69" s="48" t="s">
        <v>758</v>
      </c>
      <c r="K69" s="48" t="s">
        <v>21</v>
      </c>
      <c r="L69" s="126">
        <v>45444</v>
      </c>
      <c r="M69" s="48" t="s">
        <v>758</v>
      </c>
      <c r="N69" s="71" t="s">
        <v>2257</v>
      </c>
    </row>
    <row r="70" spans="1:14" ht="25.5">
      <c r="A70" s="50">
        <v>70</v>
      </c>
      <c r="B70" s="73" t="s">
        <v>2251</v>
      </c>
      <c r="C70" s="48" t="s">
        <v>34</v>
      </c>
      <c r="D70" s="48" t="s">
        <v>168</v>
      </c>
      <c r="E70" s="48">
        <v>2</v>
      </c>
      <c r="F70" s="48" t="s">
        <v>756</v>
      </c>
      <c r="G70" s="48" t="s">
        <v>757</v>
      </c>
      <c r="H70" s="54">
        <v>1099</v>
      </c>
      <c r="I70" s="68">
        <f t="shared" si="3"/>
        <v>2198</v>
      </c>
      <c r="J70" s="48" t="s">
        <v>758</v>
      </c>
      <c r="K70" s="48" t="s">
        <v>21</v>
      </c>
      <c r="L70" s="126">
        <v>45444</v>
      </c>
      <c r="M70" s="48" t="s">
        <v>758</v>
      </c>
      <c r="N70" s="71" t="s">
        <v>2257</v>
      </c>
    </row>
    <row r="71" spans="1:14" ht="51.75">
      <c r="A71" s="50">
        <v>71</v>
      </c>
      <c r="B71" s="70" t="s">
        <v>2291</v>
      </c>
      <c r="C71" s="48" t="s">
        <v>347</v>
      </c>
      <c r="D71" s="48" t="s">
        <v>2253</v>
      </c>
      <c r="E71" s="48">
        <v>6</v>
      </c>
      <c r="F71" s="48" t="s">
        <v>2254</v>
      </c>
      <c r="G71" s="48" t="s">
        <v>757</v>
      </c>
      <c r="H71" s="54">
        <v>600</v>
      </c>
      <c r="I71" s="69">
        <f t="shared" si="3"/>
        <v>3600</v>
      </c>
      <c r="J71" s="48" t="s">
        <v>20</v>
      </c>
      <c r="K71" s="48" t="s">
        <v>331</v>
      </c>
      <c r="L71" s="126">
        <v>45444</v>
      </c>
      <c r="M71" s="48" t="s">
        <v>391</v>
      </c>
      <c r="N71" s="72" t="s">
        <v>2292</v>
      </c>
    </row>
    <row r="72" spans="1:14" ht="51">
      <c r="A72" s="50">
        <v>72</v>
      </c>
      <c r="B72" s="135" t="s">
        <v>2255</v>
      </c>
      <c r="C72" s="48" t="s">
        <v>347</v>
      </c>
      <c r="D72" s="48" t="s">
        <v>2256</v>
      </c>
      <c r="E72" s="48">
        <v>12</v>
      </c>
      <c r="F72" s="48" t="s">
        <v>2254</v>
      </c>
      <c r="G72" s="48" t="s">
        <v>757</v>
      </c>
      <c r="H72" s="54">
        <v>170.33</v>
      </c>
      <c r="I72" s="69">
        <f t="shared" si="3"/>
        <v>2043.96</v>
      </c>
      <c r="J72" s="48" t="s">
        <v>20</v>
      </c>
      <c r="K72" s="48" t="s">
        <v>331</v>
      </c>
      <c r="L72" s="126">
        <v>45444</v>
      </c>
      <c r="M72" s="48" t="s">
        <v>391</v>
      </c>
      <c r="N72" s="72" t="s">
        <v>2292</v>
      </c>
    </row>
    <row r="73" spans="1:14">
      <c r="A73" s="50">
        <v>73</v>
      </c>
      <c r="B73" s="56" t="s">
        <v>812</v>
      </c>
      <c r="C73" s="48" t="s">
        <v>801</v>
      </c>
      <c r="D73" s="48" t="s">
        <v>811</v>
      </c>
      <c r="E73" s="48">
        <v>60</v>
      </c>
      <c r="F73" s="48" t="s">
        <v>813</v>
      </c>
      <c r="G73" s="48" t="s">
        <v>757</v>
      </c>
      <c r="H73" s="54">
        <v>12</v>
      </c>
      <c r="I73" s="69">
        <f t="shared" si="3"/>
        <v>720</v>
      </c>
      <c r="J73" s="48" t="s">
        <v>20</v>
      </c>
      <c r="K73" s="48" t="s">
        <v>331</v>
      </c>
      <c r="L73" s="126">
        <v>45444</v>
      </c>
      <c r="M73" s="48" t="s">
        <v>758</v>
      </c>
      <c r="N73" s="72" t="s">
        <v>2292</v>
      </c>
    </row>
    <row r="74" spans="1:14">
      <c r="A74" s="50">
        <v>74</v>
      </c>
      <c r="B74" s="56" t="s">
        <v>2293</v>
      </c>
      <c r="C74" s="48" t="s">
        <v>801</v>
      </c>
      <c r="D74" s="48" t="s">
        <v>811</v>
      </c>
      <c r="E74" s="48">
        <v>300</v>
      </c>
      <c r="F74" s="48" t="s">
        <v>2294</v>
      </c>
      <c r="G74" s="48" t="s">
        <v>757</v>
      </c>
      <c r="H74" s="54">
        <v>9.3800000000000008</v>
      </c>
      <c r="I74" s="69">
        <f t="shared" si="3"/>
        <v>2814.0000000000005</v>
      </c>
      <c r="J74" s="48" t="s">
        <v>20</v>
      </c>
      <c r="K74" s="48" t="s">
        <v>331</v>
      </c>
      <c r="L74" s="126">
        <v>45444</v>
      </c>
      <c r="M74" s="48" t="s">
        <v>758</v>
      </c>
      <c r="N74" s="72" t="s">
        <v>2292</v>
      </c>
    </row>
    <row r="75" spans="1:14">
      <c r="A75" s="50">
        <v>75</v>
      </c>
      <c r="B75" s="56" t="s">
        <v>2295</v>
      </c>
      <c r="C75" s="48" t="s">
        <v>801</v>
      </c>
      <c r="D75" s="48" t="s">
        <v>811</v>
      </c>
      <c r="E75" s="48">
        <v>50</v>
      </c>
      <c r="F75" s="48" t="s">
        <v>2294</v>
      </c>
      <c r="G75" s="48" t="s">
        <v>757</v>
      </c>
      <c r="H75" s="54">
        <v>12.88</v>
      </c>
      <c r="I75" s="69">
        <f t="shared" si="3"/>
        <v>644</v>
      </c>
      <c r="J75" s="48" t="s">
        <v>20</v>
      </c>
      <c r="K75" s="48" t="s">
        <v>331</v>
      </c>
      <c r="L75" s="126">
        <v>45444</v>
      </c>
      <c r="M75" s="48" t="s">
        <v>758</v>
      </c>
      <c r="N75" s="72" t="s">
        <v>2292</v>
      </c>
    </row>
    <row r="76" spans="1:14" ht="36.75">
      <c r="A76" s="50">
        <v>76</v>
      </c>
      <c r="B76" s="60" t="s">
        <v>754</v>
      </c>
      <c r="C76" s="70" t="s">
        <v>34</v>
      </c>
      <c r="D76" s="70" t="s">
        <v>755</v>
      </c>
      <c r="E76" s="70">
        <v>48</v>
      </c>
      <c r="F76" s="70" t="s">
        <v>756</v>
      </c>
      <c r="G76" s="70" t="s">
        <v>757</v>
      </c>
      <c r="H76" s="136">
        <v>1.2</v>
      </c>
      <c r="I76" s="137">
        <f t="shared" si="3"/>
        <v>57.599999999999994</v>
      </c>
      <c r="J76" s="70" t="s">
        <v>758</v>
      </c>
      <c r="K76" s="70" t="s">
        <v>21</v>
      </c>
      <c r="L76" s="70" t="s">
        <v>758</v>
      </c>
      <c r="M76" s="70" t="s">
        <v>758</v>
      </c>
      <c r="N76" s="71" t="s">
        <v>2296</v>
      </c>
    </row>
    <row r="77" spans="1:14" ht="36.75">
      <c r="A77" s="50">
        <v>77</v>
      </c>
      <c r="B77" s="60" t="s">
        <v>760</v>
      </c>
      <c r="C77" s="70" t="s">
        <v>34</v>
      </c>
      <c r="D77" s="70" t="s">
        <v>755</v>
      </c>
      <c r="E77" s="138">
        <v>48</v>
      </c>
      <c r="F77" s="70" t="s">
        <v>756</v>
      </c>
      <c r="G77" s="70" t="s">
        <v>757</v>
      </c>
      <c r="H77" s="136">
        <v>1.2</v>
      </c>
      <c r="I77" s="137">
        <f t="shared" si="3"/>
        <v>57.599999999999994</v>
      </c>
      <c r="J77" s="70" t="s">
        <v>758</v>
      </c>
      <c r="K77" s="70" t="s">
        <v>21</v>
      </c>
      <c r="L77" s="70" t="s">
        <v>758</v>
      </c>
      <c r="M77" s="70" t="s">
        <v>758</v>
      </c>
      <c r="N77" s="71" t="s">
        <v>2296</v>
      </c>
    </row>
    <row r="78" spans="1:14" ht="36.75">
      <c r="A78" s="50">
        <v>78</v>
      </c>
      <c r="B78" s="60" t="s">
        <v>761</v>
      </c>
      <c r="C78" s="70" t="s">
        <v>34</v>
      </c>
      <c r="D78" s="70" t="s">
        <v>755</v>
      </c>
      <c r="E78" s="70">
        <v>48</v>
      </c>
      <c r="F78" s="70" t="s">
        <v>756</v>
      </c>
      <c r="G78" s="70" t="s">
        <v>757</v>
      </c>
      <c r="H78" s="136">
        <v>1.2</v>
      </c>
      <c r="I78" s="137">
        <f t="shared" si="3"/>
        <v>57.599999999999994</v>
      </c>
      <c r="J78" s="70" t="s">
        <v>758</v>
      </c>
      <c r="K78" s="70" t="s">
        <v>21</v>
      </c>
      <c r="L78" s="70" t="s">
        <v>758</v>
      </c>
      <c r="M78" s="70" t="s">
        <v>758</v>
      </c>
      <c r="N78" s="71" t="s">
        <v>2296</v>
      </c>
    </row>
    <row r="79" spans="1:14" ht="36.75">
      <c r="A79" s="50">
        <v>79</v>
      </c>
      <c r="B79" s="60" t="s">
        <v>762</v>
      </c>
      <c r="C79" s="70" t="s">
        <v>34</v>
      </c>
      <c r="D79" s="70" t="s">
        <v>755</v>
      </c>
      <c r="E79" s="70">
        <v>24</v>
      </c>
      <c r="F79" s="70" t="s">
        <v>756</v>
      </c>
      <c r="G79" s="70" t="s">
        <v>757</v>
      </c>
      <c r="H79" s="136">
        <v>1.8</v>
      </c>
      <c r="I79" s="137">
        <f t="shared" si="3"/>
        <v>43.2</v>
      </c>
      <c r="J79" s="70" t="s">
        <v>758</v>
      </c>
      <c r="K79" s="70" t="s">
        <v>21</v>
      </c>
      <c r="L79" s="70" t="s">
        <v>758</v>
      </c>
      <c r="M79" s="70" t="s">
        <v>758</v>
      </c>
      <c r="N79" s="71" t="s">
        <v>2296</v>
      </c>
    </row>
    <row r="80" spans="1:14" ht="36.75">
      <c r="A80" s="50">
        <v>80</v>
      </c>
      <c r="B80" s="60" t="s">
        <v>763</v>
      </c>
      <c r="C80" s="70" t="s">
        <v>34</v>
      </c>
      <c r="D80" s="70" t="s">
        <v>755</v>
      </c>
      <c r="E80" s="70">
        <v>24</v>
      </c>
      <c r="F80" s="70" t="s">
        <v>756</v>
      </c>
      <c r="G80" s="70" t="s">
        <v>757</v>
      </c>
      <c r="H80" s="136">
        <v>1.8</v>
      </c>
      <c r="I80" s="137">
        <f t="shared" si="3"/>
        <v>43.2</v>
      </c>
      <c r="J80" s="70" t="s">
        <v>758</v>
      </c>
      <c r="K80" s="70" t="s">
        <v>21</v>
      </c>
      <c r="L80" s="70" t="s">
        <v>758</v>
      </c>
      <c r="M80" s="70" t="s">
        <v>758</v>
      </c>
      <c r="N80" s="71" t="s">
        <v>2296</v>
      </c>
    </row>
    <row r="81" spans="1:14" ht="36.75">
      <c r="A81" s="50">
        <v>81</v>
      </c>
      <c r="B81" s="60" t="s">
        <v>764</v>
      </c>
      <c r="C81" s="70" t="s">
        <v>34</v>
      </c>
      <c r="D81" s="70" t="s">
        <v>755</v>
      </c>
      <c r="E81" s="70">
        <v>24</v>
      </c>
      <c r="F81" s="70" t="s">
        <v>765</v>
      </c>
      <c r="G81" s="70" t="s">
        <v>757</v>
      </c>
      <c r="H81" s="136">
        <v>1.8</v>
      </c>
      <c r="I81" s="137">
        <f t="shared" si="3"/>
        <v>43.2</v>
      </c>
      <c r="J81" s="70" t="s">
        <v>758</v>
      </c>
      <c r="K81" s="70" t="s">
        <v>21</v>
      </c>
      <c r="L81" s="70" t="s">
        <v>758</v>
      </c>
      <c r="M81" s="70" t="s">
        <v>758</v>
      </c>
      <c r="N81" s="71" t="s">
        <v>2296</v>
      </c>
    </row>
    <row r="82" spans="1:14" ht="36.75">
      <c r="A82" s="50">
        <v>82</v>
      </c>
      <c r="B82" s="128" t="s">
        <v>766</v>
      </c>
      <c r="C82" s="70" t="s">
        <v>34</v>
      </c>
      <c r="D82" s="70" t="s">
        <v>755</v>
      </c>
      <c r="E82" s="70">
        <v>12</v>
      </c>
      <c r="F82" s="70" t="s">
        <v>756</v>
      </c>
      <c r="G82" s="70" t="s">
        <v>757</v>
      </c>
      <c r="H82" s="136">
        <v>1.9</v>
      </c>
      <c r="I82" s="137">
        <f t="shared" si="3"/>
        <v>22.799999999999997</v>
      </c>
      <c r="J82" s="70" t="s">
        <v>758</v>
      </c>
      <c r="K82" s="70" t="s">
        <v>21</v>
      </c>
      <c r="L82" s="70" t="s">
        <v>758</v>
      </c>
      <c r="M82" s="70" t="s">
        <v>758</v>
      </c>
      <c r="N82" s="71" t="s">
        <v>2296</v>
      </c>
    </row>
    <row r="83" spans="1:14" ht="36.75">
      <c r="A83" s="50">
        <v>83</v>
      </c>
      <c r="B83" s="128" t="s">
        <v>767</v>
      </c>
      <c r="C83" s="70" t="s">
        <v>34</v>
      </c>
      <c r="D83" s="70" t="s">
        <v>755</v>
      </c>
      <c r="E83" s="70">
        <v>12</v>
      </c>
      <c r="F83" s="70" t="s">
        <v>756</v>
      </c>
      <c r="G83" s="70" t="s">
        <v>757</v>
      </c>
      <c r="H83" s="136">
        <v>1.9</v>
      </c>
      <c r="I83" s="137">
        <f t="shared" si="3"/>
        <v>22.799999999999997</v>
      </c>
      <c r="J83" s="70" t="s">
        <v>758</v>
      </c>
      <c r="K83" s="70" t="s">
        <v>21</v>
      </c>
      <c r="L83" s="70" t="s">
        <v>758</v>
      </c>
      <c r="M83" s="70" t="s">
        <v>758</v>
      </c>
      <c r="N83" s="71" t="s">
        <v>2296</v>
      </c>
    </row>
    <row r="84" spans="1:14" ht="36.75">
      <c r="A84" s="50">
        <v>84</v>
      </c>
      <c r="B84" s="128" t="s">
        <v>768</v>
      </c>
      <c r="C84" s="70" t="s">
        <v>34</v>
      </c>
      <c r="D84" s="70" t="s">
        <v>755</v>
      </c>
      <c r="E84" s="70">
        <v>12</v>
      </c>
      <c r="F84" s="70" t="s">
        <v>756</v>
      </c>
      <c r="G84" s="70" t="s">
        <v>757</v>
      </c>
      <c r="H84" s="136">
        <v>1.9</v>
      </c>
      <c r="I84" s="137">
        <f t="shared" si="3"/>
        <v>22.799999999999997</v>
      </c>
      <c r="J84" s="70" t="s">
        <v>758</v>
      </c>
      <c r="K84" s="70" t="s">
        <v>21</v>
      </c>
      <c r="L84" s="70" t="s">
        <v>758</v>
      </c>
      <c r="M84" s="70" t="s">
        <v>758</v>
      </c>
      <c r="N84" s="71" t="s">
        <v>2296</v>
      </c>
    </row>
    <row r="85" spans="1:14" ht="36.75">
      <c r="A85" s="50">
        <v>85</v>
      </c>
      <c r="B85" s="60" t="s">
        <v>769</v>
      </c>
      <c r="C85" s="70" t="s">
        <v>34</v>
      </c>
      <c r="D85" s="70" t="s">
        <v>755</v>
      </c>
      <c r="E85" s="70">
        <v>48</v>
      </c>
      <c r="F85" s="70" t="s">
        <v>756</v>
      </c>
      <c r="G85" s="70" t="s">
        <v>757</v>
      </c>
      <c r="H85" s="136">
        <v>1</v>
      </c>
      <c r="I85" s="137">
        <f t="shared" si="3"/>
        <v>48</v>
      </c>
      <c r="J85" s="70" t="s">
        <v>758</v>
      </c>
      <c r="K85" s="70" t="s">
        <v>21</v>
      </c>
      <c r="L85" s="70" t="s">
        <v>758</v>
      </c>
      <c r="M85" s="70" t="s">
        <v>758</v>
      </c>
      <c r="N85" s="71" t="s">
        <v>2296</v>
      </c>
    </row>
    <row r="86" spans="1:14" ht="36.75">
      <c r="A86" s="50">
        <v>86</v>
      </c>
      <c r="B86" s="60" t="s">
        <v>770</v>
      </c>
      <c r="C86" s="70" t="s">
        <v>34</v>
      </c>
      <c r="D86" s="70" t="s">
        <v>755</v>
      </c>
      <c r="E86" s="70">
        <v>100</v>
      </c>
      <c r="F86" s="70" t="s">
        <v>765</v>
      </c>
      <c r="G86" s="70" t="s">
        <v>757</v>
      </c>
      <c r="H86" s="136">
        <v>32.9</v>
      </c>
      <c r="I86" s="137">
        <f t="shared" si="3"/>
        <v>3290</v>
      </c>
      <c r="J86" s="70" t="s">
        <v>758</v>
      </c>
      <c r="K86" s="70" t="s">
        <v>21</v>
      </c>
      <c r="L86" s="70" t="s">
        <v>758</v>
      </c>
      <c r="M86" s="70" t="s">
        <v>758</v>
      </c>
      <c r="N86" s="71" t="s">
        <v>2296</v>
      </c>
    </row>
    <row r="87" spans="1:14" ht="36.75">
      <c r="A87" s="50">
        <v>87</v>
      </c>
      <c r="B87" s="60" t="s">
        <v>771</v>
      </c>
      <c r="C87" s="70" t="s">
        <v>34</v>
      </c>
      <c r="D87" s="70" t="s">
        <v>755</v>
      </c>
      <c r="E87" s="70">
        <v>10</v>
      </c>
      <c r="F87" s="70" t="s">
        <v>681</v>
      </c>
      <c r="G87" s="70" t="s">
        <v>757</v>
      </c>
      <c r="H87" s="136">
        <v>34.9</v>
      </c>
      <c r="I87" s="137">
        <f t="shared" si="3"/>
        <v>349</v>
      </c>
      <c r="J87" s="70" t="s">
        <v>758</v>
      </c>
      <c r="K87" s="70" t="s">
        <v>21</v>
      </c>
      <c r="L87" s="70" t="s">
        <v>758</v>
      </c>
      <c r="M87" s="70" t="s">
        <v>758</v>
      </c>
      <c r="N87" s="71" t="s">
        <v>2296</v>
      </c>
    </row>
    <row r="88" spans="1:14" ht="36.75">
      <c r="A88" s="50">
        <v>88</v>
      </c>
      <c r="B88" s="60" t="s">
        <v>772</v>
      </c>
      <c r="C88" s="70" t="s">
        <v>34</v>
      </c>
      <c r="D88" s="70" t="s">
        <v>755</v>
      </c>
      <c r="E88" s="70">
        <v>10</v>
      </c>
      <c r="F88" s="70" t="s">
        <v>681</v>
      </c>
      <c r="G88" s="70" t="s">
        <v>757</v>
      </c>
      <c r="H88" s="136">
        <v>13.5</v>
      </c>
      <c r="I88" s="137">
        <f t="shared" si="3"/>
        <v>135</v>
      </c>
      <c r="J88" s="70" t="s">
        <v>758</v>
      </c>
      <c r="K88" s="70" t="s">
        <v>21</v>
      </c>
      <c r="L88" s="70" t="s">
        <v>758</v>
      </c>
      <c r="M88" s="70" t="s">
        <v>758</v>
      </c>
      <c r="N88" s="71" t="s">
        <v>2296</v>
      </c>
    </row>
    <row r="89" spans="1:14" ht="36.75">
      <c r="A89" s="50">
        <v>89</v>
      </c>
      <c r="B89" s="60" t="s">
        <v>773</v>
      </c>
      <c r="C89" s="139" t="s">
        <v>34</v>
      </c>
      <c r="D89" s="70" t="s">
        <v>755</v>
      </c>
      <c r="E89" s="70">
        <v>5</v>
      </c>
      <c r="F89" s="70" t="s">
        <v>681</v>
      </c>
      <c r="G89" s="70" t="s">
        <v>757</v>
      </c>
      <c r="H89" s="136">
        <v>14.9</v>
      </c>
      <c r="I89" s="137">
        <f t="shared" si="3"/>
        <v>74.5</v>
      </c>
      <c r="J89" s="70" t="s">
        <v>758</v>
      </c>
      <c r="K89" s="70" t="s">
        <v>21</v>
      </c>
      <c r="L89" s="70" t="s">
        <v>758</v>
      </c>
      <c r="M89" s="70" t="s">
        <v>758</v>
      </c>
      <c r="N89" s="71" t="s">
        <v>2296</v>
      </c>
    </row>
    <row r="90" spans="1:14" ht="36.75">
      <c r="A90" s="50">
        <v>90</v>
      </c>
      <c r="B90" s="140" t="s">
        <v>774</v>
      </c>
      <c r="C90" s="139" t="s">
        <v>34</v>
      </c>
      <c r="D90" s="70" t="s">
        <v>755</v>
      </c>
      <c r="E90" s="70">
        <v>15</v>
      </c>
      <c r="F90" s="70" t="s">
        <v>681</v>
      </c>
      <c r="G90" s="139" t="s">
        <v>757</v>
      </c>
      <c r="H90" s="136">
        <v>22.9</v>
      </c>
      <c r="I90" s="137">
        <f t="shared" si="3"/>
        <v>343.5</v>
      </c>
      <c r="J90" s="70" t="s">
        <v>758</v>
      </c>
      <c r="K90" s="70" t="s">
        <v>21</v>
      </c>
      <c r="L90" s="70" t="s">
        <v>758</v>
      </c>
      <c r="M90" s="70" t="s">
        <v>758</v>
      </c>
      <c r="N90" s="71" t="s">
        <v>2296</v>
      </c>
    </row>
    <row r="91" spans="1:14" ht="36.75">
      <c r="A91" s="50">
        <v>91</v>
      </c>
      <c r="B91" s="60" t="s">
        <v>775</v>
      </c>
      <c r="C91" s="70" t="s">
        <v>34</v>
      </c>
      <c r="D91" s="70" t="s">
        <v>755</v>
      </c>
      <c r="E91" s="70">
        <v>24</v>
      </c>
      <c r="F91" s="70" t="s">
        <v>756</v>
      </c>
      <c r="G91" s="70" t="s">
        <v>757</v>
      </c>
      <c r="H91" s="136">
        <v>2.4</v>
      </c>
      <c r="I91" s="137">
        <f t="shared" si="3"/>
        <v>57.599999999999994</v>
      </c>
      <c r="J91" s="70" t="s">
        <v>758</v>
      </c>
      <c r="K91" s="70" t="s">
        <v>21</v>
      </c>
      <c r="L91" s="70" t="s">
        <v>758</v>
      </c>
      <c r="M91" s="70" t="s">
        <v>758</v>
      </c>
      <c r="N91" s="71" t="s">
        <v>2296</v>
      </c>
    </row>
    <row r="92" spans="1:14" ht="36.75">
      <c r="A92" s="50">
        <v>92</v>
      </c>
      <c r="B92" s="60" t="s">
        <v>776</v>
      </c>
      <c r="C92" s="70" t="s">
        <v>34</v>
      </c>
      <c r="D92" s="70" t="s">
        <v>755</v>
      </c>
      <c r="E92" s="70">
        <v>12</v>
      </c>
      <c r="F92" s="139" t="s">
        <v>756</v>
      </c>
      <c r="G92" s="139" t="s">
        <v>757</v>
      </c>
      <c r="H92" s="136">
        <v>5.7</v>
      </c>
      <c r="I92" s="137">
        <f t="shared" si="3"/>
        <v>68.400000000000006</v>
      </c>
      <c r="J92" s="70" t="s">
        <v>758</v>
      </c>
      <c r="K92" s="70" t="s">
        <v>21</v>
      </c>
      <c r="L92" s="70" t="s">
        <v>758</v>
      </c>
      <c r="M92" s="70" t="s">
        <v>758</v>
      </c>
      <c r="N92" s="71" t="s">
        <v>2296</v>
      </c>
    </row>
    <row r="93" spans="1:14" ht="36.75">
      <c r="A93" s="50">
        <v>93</v>
      </c>
      <c r="B93" s="60" t="s">
        <v>777</v>
      </c>
      <c r="C93" s="139" t="s">
        <v>34</v>
      </c>
      <c r="D93" s="70" t="s">
        <v>755</v>
      </c>
      <c r="E93" s="70">
        <v>24</v>
      </c>
      <c r="F93" s="70" t="s">
        <v>756</v>
      </c>
      <c r="G93" s="70" t="s">
        <v>757</v>
      </c>
      <c r="H93" s="136">
        <v>7.9</v>
      </c>
      <c r="I93" s="137">
        <f t="shared" si="3"/>
        <v>189.60000000000002</v>
      </c>
      <c r="J93" s="70" t="s">
        <v>758</v>
      </c>
      <c r="K93" s="70" t="s">
        <v>21</v>
      </c>
      <c r="L93" s="70" t="s">
        <v>758</v>
      </c>
      <c r="M93" s="70" t="s">
        <v>758</v>
      </c>
      <c r="N93" s="71" t="s">
        <v>2296</v>
      </c>
    </row>
    <row r="94" spans="1:14" ht="36.75">
      <c r="A94" s="50">
        <v>94</v>
      </c>
      <c r="B94" s="60" t="s">
        <v>778</v>
      </c>
      <c r="C94" s="70" t="s">
        <v>34</v>
      </c>
      <c r="D94" s="70" t="s">
        <v>755</v>
      </c>
      <c r="E94" s="70">
        <v>12</v>
      </c>
      <c r="F94" s="139" t="s">
        <v>756</v>
      </c>
      <c r="G94" s="139" t="s">
        <v>757</v>
      </c>
      <c r="H94" s="136">
        <v>2.4500000000000002</v>
      </c>
      <c r="I94" s="137">
        <f t="shared" si="3"/>
        <v>29.400000000000002</v>
      </c>
      <c r="J94" s="70" t="s">
        <v>758</v>
      </c>
      <c r="K94" s="70" t="s">
        <v>21</v>
      </c>
      <c r="L94" s="70" t="s">
        <v>758</v>
      </c>
      <c r="M94" s="70" t="s">
        <v>758</v>
      </c>
      <c r="N94" s="71" t="s">
        <v>2296</v>
      </c>
    </row>
    <row r="95" spans="1:14" ht="36.75">
      <c r="A95" s="50">
        <v>95</v>
      </c>
      <c r="B95" s="60" t="s">
        <v>2260</v>
      </c>
      <c r="C95" s="70" t="s">
        <v>34</v>
      </c>
      <c r="D95" s="70" t="s">
        <v>755</v>
      </c>
      <c r="E95" s="37">
        <v>100</v>
      </c>
      <c r="F95" s="3" t="s">
        <v>756</v>
      </c>
      <c r="G95" s="70" t="s">
        <v>757</v>
      </c>
      <c r="H95" s="136">
        <v>2</v>
      </c>
      <c r="I95" s="137">
        <f t="shared" si="3"/>
        <v>200</v>
      </c>
      <c r="J95" s="70" t="s">
        <v>758</v>
      </c>
      <c r="K95" s="70" t="s">
        <v>21</v>
      </c>
      <c r="L95" s="70" t="s">
        <v>758</v>
      </c>
      <c r="M95" s="70" t="s">
        <v>758</v>
      </c>
      <c r="N95" s="71" t="s">
        <v>2296</v>
      </c>
    </row>
    <row r="96" spans="1:14" ht="36.75">
      <c r="A96" s="50">
        <v>96</v>
      </c>
      <c r="B96" s="60" t="s">
        <v>2297</v>
      </c>
      <c r="C96" s="139" t="s">
        <v>34</v>
      </c>
      <c r="D96" s="70" t="s">
        <v>755</v>
      </c>
      <c r="E96" s="37">
        <v>60</v>
      </c>
      <c r="F96" s="3" t="s">
        <v>756</v>
      </c>
      <c r="G96" s="139" t="s">
        <v>757</v>
      </c>
      <c r="H96" s="136">
        <v>2</v>
      </c>
      <c r="I96" s="137">
        <f t="shared" si="3"/>
        <v>120</v>
      </c>
      <c r="J96" s="70" t="s">
        <v>758</v>
      </c>
      <c r="K96" s="70" t="s">
        <v>21</v>
      </c>
      <c r="L96" s="70" t="s">
        <v>758</v>
      </c>
      <c r="M96" s="70" t="s">
        <v>758</v>
      </c>
      <c r="N96" s="71" t="s">
        <v>2296</v>
      </c>
    </row>
    <row r="97" spans="1:14" ht="36.75">
      <c r="A97" s="50">
        <v>97</v>
      </c>
      <c r="B97" s="60" t="s">
        <v>779</v>
      </c>
      <c r="C97" s="139" t="s">
        <v>34</v>
      </c>
      <c r="D97" s="70" t="s">
        <v>755</v>
      </c>
      <c r="E97" s="37">
        <v>100</v>
      </c>
      <c r="F97" s="3" t="s">
        <v>756</v>
      </c>
      <c r="G97" s="70" t="s">
        <v>757</v>
      </c>
      <c r="H97" s="136">
        <v>1</v>
      </c>
      <c r="I97" s="137">
        <f t="shared" si="3"/>
        <v>100</v>
      </c>
      <c r="J97" s="70" t="s">
        <v>758</v>
      </c>
      <c r="K97" s="70" t="s">
        <v>21</v>
      </c>
      <c r="L97" s="70" t="s">
        <v>758</v>
      </c>
      <c r="M97" s="70" t="s">
        <v>758</v>
      </c>
      <c r="N97" s="71" t="s">
        <v>2296</v>
      </c>
    </row>
    <row r="98" spans="1:14" ht="36.75">
      <c r="A98" s="50">
        <v>98</v>
      </c>
      <c r="B98" s="60" t="s">
        <v>780</v>
      </c>
      <c r="C98" s="70" t="s">
        <v>34</v>
      </c>
      <c r="D98" s="70" t="s">
        <v>755</v>
      </c>
      <c r="E98" s="37">
        <v>100</v>
      </c>
      <c r="F98" s="3" t="s">
        <v>756</v>
      </c>
      <c r="G98" s="139" t="s">
        <v>757</v>
      </c>
      <c r="H98" s="136">
        <v>1</v>
      </c>
      <c r="I98" s="137">
        <f t="shared" si="3"/>
        <v>100</v>
      </c>
      <c r="J98" s="70" t="s">
        <v>758</v>
      </c>
      <c r="K98" s="70" t="s">
        <v>21</v>
      </c>
      <c r="L98" s="70" t="s">
        <v>758</v>
      </c>
      <c r="M98" s="70" t="s">
        <v>758</v>
      </c>
      <c r="N98" s="71" t="s">
        <v>2296</v>
      </c>
    </row>
    <row r="99" spans="1:14" ht="36.75">
      <c r="A99" s="50">
        <v>99</v>
      </c>
      <c r="B99" s="60" t="s">
        <v>781</v>
      </c>
      <c r="C99" s="70" t="s">
        <v>34</v>
      </c>
      <c r="D99" s="70" t="s">
        <v>755</v>
      </c>
      <c r="E99" s="37">
        <v>12</v>
      </c>
      <c r="F99" s="3" t="s">
        <v>756</v>
      </c>
      <c r="G99" s="70" t="s">
        <v>757</v>
      </c>
      <c r="H99" s="136">
        <v>6.5</v>
      </c>
      <c r="I99" s="137">
        <f t="shared" si="3"/>
        <v>78</v>
      </c>
      <c r="J99" s="70" t="s">
        <v>758</v>
      </c>
      <c r="K99" s="70" t="s">
        <v>21</v>
      </c>
      <c r="L99" s="70" t="s">
        <v>758</v>
      </c>
      <c r="M99" s="70" t="s">
        <v>758</v>
      </c>
      <c r="N99" s="71" t="s">
        <v>2296</v>
      </c>
    </row>
    <row r="100" spans="1:14" ht="36.75">
      <c r="A100" s="50">
        <v>100</v>
      </c>
      <c r="B100" s="60" t="s">
        <v>782</v>
      </c>
      <c r="C100" s="70" t="s">
        <v>34</v>
      </c>
      <c r="D100" s="70" t="s">
        <v>755</v>
      </c>
      <c r="E100" s="37">
        <v>100</v>
      </c>
      <c r="F100" s="3" t="s">
        <v>756</v>
      </c>
      <c r="G100" s="139" t="s">
        <v>757</v>
      </c>
      <c r="H100" s="136">
        <v>5.75</v>
      </c>
      <c r="I100" s="137">
        <f t="shared" si="3"/>
        <v>575</v>
      </c>
      <c r="J100" s="70" t="s">
        <v>758</v>
      </c>
      <c r="K100" s="70" t="s">
        <v>21</v>
      </c>
      <c r="L100" s="70" t="s">
        <v>758</v>
      </c>
      <c r="M100" s="70" t="s">
        <v>758</v>
      </c>
      <c r="N100" s="71" t="s">
        <v>2296</v>
      </c>
    </row>
    <row r="101" spans="1:14" ht="36.75">
      <c r="A101" s="50">
        <v>101</v>
      </c>
      <c r="B101" s="60" t="s">
        <v>783</v>
      </c>
      <c r="C101" s="70" t="s">
        <v>34</v>
      </c>
      <c r="D101" s="70" t="s">
        <v>755</v>
      </c>
      <c r="E101" s="37">
        <v>4</v>
      </c>
      <c r="F101" s="3" t="s">
        <v>756</v>
      </c>
      <c r="G101" s="70" t="s">
        <v>757</v>
      </c>
      <c r="H101" s="136">
        <v>5</v>
      </c>
      <c r="I101" s="137">
        <f t="shared" si="3"/>
        <v>20</v>
      </c>
      <c r="J101" s="70" t="s">
        <v>758</v>
      </c>
      <c r="K101" s="70" t="s">
        <v>21</v>
      </c>
      <c r="L101" s="70" t="s">
        <v>758</v>
      </c>
      <c r="M101" s="70" t="s">
        <v>758</v>
      </c>
      <c r="N101" s="71" t="s">
        <v>2296</v>
      </c>
    </row>
    <row r="102" spans="1:14" ht="36.75">
      <c r="A102" s="50">
        <v>102</v>
      </c>
      <c r="B102" s="60" t="s">
        <v>784</v>
      </c>
      <c r="C102" s="70" t="s">
        <v>34</v>
      </c>
      <c r="D102" s="70" t="s">
        <v>755</v>
      </c>
      <c r="E102" s="37">
        <v>4</v>
      </c>
      <c r="F102" s="3" t="s">
        <v>756</v>
      </c>
      <c r="G102" s="139" t="s">
        <v>757</v>
      </c>
      <c r="H102" s="136">
        <v>19.68</v>
      </c>
      <c r="I102" s="137">
        <f t="shared" si="3"/>
        <v>78.72</v>
      </c>
      <c r="J102" s="70" t="s">
        <v>758</v>
      </c>
      <c r="K102" s="70" t="s">
        <v>21</v>
      </c>
      <c r="L102" s="70" t="s">
        <v>758</v>
      </c>
      <c r="M102" s="70" t="s">
        <v>758</v>
      </c>
      <c r="N102" s="71" t="s">
        <v>2296</v>
      </c>
    </row>
    <row r="103" spans="1:14" ht="36.75">
      <c r="A103" s="50">
        <v>103</v>
      </c>
      <c r="B103" s="60" t="s">
        <v>785</v>
      </c>
      <c r="C103" s="139" t="s">
        <v>34</v>
      </c>
      <c r="D103" s="70" t="s">
        <v>755</v>
      </c>
      <c r="E103" s="37">
        <v>12</v>
      </c>
      <c r="F103" s="3" t="s">
        <v>756</v>
      </c>
      <c r="G103" s="70" t="s">
        <v>757</v>
      </c>
      <c r="H103" s="136">
        <v>9.99</v>
      </c>
      <c r="I103" s="137">
        <f t="shared" si="3"/>
        <v>119.88</v>
      </c>
      <c r="J103" s="70" t="s">
        <v>758</v>
      </c>
      <c r="K103" s="70" t="s">
        <v>21</v>
      </c>
      <c r="L103" s="70" t="s">
        <v>758</v>
      </c>
      <c r="M103" s="70" t="s">
        <v>758</v>
      </c>
      <c r="N103" s="71" t="s">
        <v>2296</v>
      </c>
    </row>
    <row r="104" spans="1:14" ht="36.75">
      <c r="A104" s="50">
        <v>104</v>
      </c>
      <c r="B104" s="60" t="s">
        <v>786</v>
      </c>
      <c r="C104" s="139" t="s">
        <v>34</v>
      </c>
      <c r="D104" s="70" t="s">
        <v>755</v>
      </c>
      <c r="E104" s="37">
        <v>4</v>
      </c>
      <c r="F104" s="3" t="s">
        <v>756</v>
      </c>
      <c r="G104" s="139" t="s">
        <v>757</v>
      </c>
      <c r="H104" s="136">
        <v>29.95</v>
      </c>
      <c r="I104" s="137">
        <f t="shared" si="3"/>
        <v>119.8</v>
      </c>
      <c r="J104" s="70" t="s">
        <v>758</v>
      </c>
      <c r="K104" s="70" t="s">
        <v>21</v>
      </c>
      <c r="L104" s="70" t="s">
        <v>758</v>
      </c>
      <c r="M104" s="70" t="s">
        <v>758</v>
      </c>
      <c r="N104" s="71" t="s">
        <v>2296</v>
      </c>
    </row>
    <row r="105" spans="1:14" ht="36.75">
      <c r="A105" s="50">
        <v>105</v>
      </c>
      <c r="B105" s="60" t="s">
        <v>787</v>
      </c>
      <c r="C105" s="70" t="s">
        <v>34</v>
      </c>
      <c r="D105" s="70" t="s">
        <v>755</v>
      </c>
      <c r="E105" s="37">
        <v>4</v>
      </c>
      <c r="F105" s="3" t="s">
        <v>756</v>
      </c>
      <c r="G105" s="70" t="s">
        <v>757</v>
      </c>
      <c r="H105" s="136">
        <v>44.17</v>
      </c>
      <c r="I105" s="137">
        <f t="shared" si="3"/>
        <v>176.68</v>
      </c>
      <c r="J105" s="70" t="s">
        <v>758</v>
      </c>
      <c r="K105" s="70" t="s">
        <v>21</v>
      </c>
      <c r="L105" s="70" t="s">
        <v>758</v>
      </c>
      <c r="M105" s="70" t="s">
        <v>758</v>
      </c>
      <c r="N105" s="71" t="s">
        <v>2296</v>
      </c>
    </row>
    <row r="106" spans="1:14" ht="36.75">
      <c r="A106" s="50">
        <v>106</v>
      </c>
      <c r="B106" s="60" t="s">
        <v>788</v>
      </c>
      <c r="C106" s="70" t="s">
        <v>34</v>
      </c>
      <c r="D106" s="70" t="s">
        <v>755</v>
      </c>
      <c r="E106" s="37">
        <v>6</v>
      </c>
      <c r="F106" s="3" t="s">
        <v>756</v>
      </c>
      <c r="G106" s="139" t="s">
        <v>757</v>
      </c>
      <c r="H106" s="136">
        <v>25</v>
      </c>
      <c r="I106" s="137">
        <f t="shared" si="3"/>
        <v>150</v>
      </c>
      <c r="J106" s="70" t="s">
        <v>758</v>
      </c>
      <c r="K106" s="70" t="s">
        <v>21</v>
      </c>
      <c r="L106" s="70" t="s">
        <v>758</v>
      </c>
      <c r="M106" s="70" t="s">
        <v>758</v>
      </c>
      <c r="N106" s="71" t="s">
        <v>2296</v>
      </c>
    </row>
    <row r="107" spans="1:14" ht="36.75">
      <c r="A107" s="50">
        <v>107</v>
      </c>
      <c r="B107" s="60" t="s">
        <v>789</v>
      </c>
      <c r="C107" s="70" t="s">
        <v>34</v>
      </c>
      <c r="D107" s="70" t="s">
        <v>755</v>
      </c>
      <c r="E107" s="37">
        <v>4</v>
      </c>
      <c r="F107" s="3" t="s">
        <v>756</v>
      </c>
      <c r="G107" s="70" t="s">
        <v>757</v>
      </c>
      <c r="H107" s="136">
        <v>21.3</v>
      </c>
      <c r="I107" s="137">
        <f t="shared" si="3"/>
        <v>85.2</v>
      </c>
      <c r="J107" s="70" t="s">
        <v>758</v>
      </c>
      <c r="K107" s="70" t="s">
        <v>21</v>
      </c>
      <c r="L107" s="70" t="s">
        <v>758</v>
      </c>
      <c r="M107" s="70" t="s">
        <v>758</v>
      </c>
      <c r="N107" s="71" t="s">
        <v>2296</v>
      </c>
    </row>
    <row r="108" spans="1:14" ht="36.75">
      <c r="A108" s="50">
        <v>108</v>
      </c>
      <c r="B108" s="60" t="s">
        <v>790</v>
      </c>
      <c r="C108" s="70" t="s">
        <v>34</v>
      </c>
      <c r="D108" s="70" t="s">
        <v>755</v>
      </c>
      <c r="E108" s="37">
        <v>1</v>
      </c>
      <c r="F108" s="3" t="s">
        <v>756</v>
      </c>
      <c r="G108" s="70" t="s">
        <v>757</v>
      </c>
      <c r="H108" s="136">
        <v>113.13</v>
      </c>
      <c r="I108" s="137">
        <f t="shared" si="3"/>
        <v>113.13</v>
      </c>
      <c r="J108" s="70" t="s">
        <v>758</v>
      </c>
      <c r="K108" s="70" t="s">
        <v>21</v>
      </c>
      <c r="L108" s="70" t="s">
        <v>758</v>
      </c>
      <c r="M108" s="70" t="s">
        <v>758</v>
      </c>
      <c r="N108" s="71" t="s">
        <v>2296</v>
      </c>
    </row>
    <row r="109" spans="1:14" ht="36.75">
      <c r="A109" s="50">
        <v>109</v>
      </c>
      <c r="B109" s="60" t="s">
        <v>791</v>
      </c>
      <c r="C109" s="70" t="s">
        <v>34</v>
      </c>
      <c r="D109" s="70" t="s">
        <v>755</v>
      </c>
      <c r="E109" s="37">
        <v>100</v>
      </c>
      <c r="F109" s="3" t="s">
        <v>756</v>
      </c>
      <c r="G109" s="70" t="s">
        <v>757</v>
      </c>
      <c r="H109" s="136">
        <v>0.2</v>
      </c>
      <c r="I109" s="137">
        <f>E109*H109</f>
        <v>20</v>
      </c>
      <c r="J109" s="70" t="s">
        <v>758</v>
      </c>
      <c r="K109" s="70" t="s">
        <v>21</v>
      </c>
      <c r="L109" s="70" t="s">
        <v>758</v>
      </c>
      <c r="M109" s="70" t="s">
        <v>758</v>
      </c>
      <c r="N109" s="71" t="s">
        <v>2296</v>
      </c>
    </row>
    <row r="110" spans="1:14" ht="36.75">
      <c r="A110" s="50">
        <v>110</v>
      </c>
      <c r="B110" s="60" t="s">
        <v>792</v>
      </c>
      <c r="C110" s="70" t="s">
        <v>34</v>
      </c>
      <c r="D110" s="70" t="s">
        <v>755</v>
      </c>
      <c r="E110" s="37">
        <v>5</v>
      </c>
      <c r="F110" s="3" t="s">
        <v>756</v>
      </c>
      <c r="G110" s="70" t="s">
        <v>757</v>
      </c>
      <c r="H110" s="136">
        <v>18.739999999999998</v>
      </c>
      <c r="I110" s="137">
        <f>E110*H110</f>
        <v>93.699999999999989</v>
      </c>
      <c r="J110" s="70" t="s">
        <v>758</v>
      </c>
      <c r="K110" s="70" t="s">
        <v>21</v>
      </c>
      <c r="L110" s="70" t="s">
        <v>758</v>
      </c>
      <c r="M110" s="70" t="s">
        <v>758</v>
      </c>
      <c r="N110" s="71" t="s">
        <v>2296</v>
      </c>
    </row>
    <row r="111" spans="1:14" ht="48.75">
      <c r="A111" s="50">
        <v>111</v>
      </c>
      <c r="B111" s="60" t="s">
        <v>793</v>
      </c>
      <c r="C111" s="70" t="s">
        <v>34</v>
      </c>
      <c r="D111" s="70" t="s">
        <v>755</v>
      </c>
      <c r="E111" s="37">
        <v>20</v>
      </c>
      <c r="F111" s="37" t="s">
        <v>794</v>
      </c>
      <c r="G111" s="70" t="s">
        <v>757</v>
      </c>
      <c r="H111" s="136">
        <v>14.89</v>
      </c>
      <c r="I111" s="137">
        <f>E111*H111</f>
        <v>297.8</v>
      </c>
      <c r="J111" s="70" t="s">
        <v>758</v>
      </c>
      <c r="K111" s="70" t="s">
        <v>21</v>
      </c>
      <c r="L111" s="70" t="s">
        <v>758</v>
      </c>
      <c r="M111" s="70" t="s">
        <v>758</v>
      </c>
      <c r="N111" s="71" t="s">
        <v>2296</v>
      </c>
    </row>
    <row r="112" spans="1:14" ht="36.75">
      <c r="A112" s="50">
        <v>112</v>
      </c>
      <c r="B112" s="60" t="s">
        <v>795</v>
      </c>
      <c r="C112" s="70" t="s">
        <v>34</v>
      </c>
      <c r="D112" s="70" t="s">
        <v>755</v>
      </c>
      <c r="E112" s="37">
        <v>12</v>
      </c>
      <c r="F112" s="37" t="s">
        <v>756</v>
      </c>
      <c r="G112" s="70" t="s">
        <v>757</v>
      </c>
      <c r="H112" s="136">
        <v>3.6</v>
      </c>
      <c r="I112" s="137">
        <f>E112*H112</f>
        <v>43.2</v>
      </c>
      <c r="J112" s="70" t="s">
        <v>758</v>
      </c>
      <c r="K112" s="70" t="s">
        <v>21</v>
      </c>
      <c r="L112" s="70" t="s">
        <v>758</v>
      </c>
      <c r="M112" s="70" t="s">
        <v>758</v>
      </c>
      <c r="N112" s="71" t="s">
        <v>2296</v>
      </c>
    </row>
    <row r="113" spans="1:14" ht="36.75">
      <c r="A113" s="50">
        <v>113</v>
      </c>
      <c r="B113" s="60" t="s">
        <v>2249</v>
      </c>
      <c r="C113" s="70" t="s">
        <v>34</v>
      </c>
      <c r="D113" s="70" t="s">
        <v>168</v>
      </c>
      <c r="E113" s="70">
        <v>1</v>
      </c>
      <c r="F113" s="70" t="s">
        <v>756</v>
      </c>
      <c r="G113" s="70" t="s">
        <v>757</v>
      </c>
      <c r="H113" s="141">
        <v>100</v>
      </c>
      <c r="I113" s="142">
        <f>E113*H113</f>
        <v>100</v>
      </c>
      <c r="J113" s="70" t="s">
        <v>20</v>
      </c>
      <c r="K113" s="70" t="s">
        <v>21</v>
      </c>
      <c r="L113" s="70" t="s">
        <v>758</v>
      </c>
      <c r="M113" s="70" t="s">
        <v>758</v>
      </c>
      <c r="N113" s="71" t="s">
        <v>2296</v>
      </c>
    </row>
    <row r="114" spans="1:14" ht="36.75">
      <c r="A114" s="50">
        <v>114</v>
      </c>
      <c r="B114" s="60" t="s">
        <v>2298</v>
      </c>
      <c r="C114" s="70" t="s">
        <v>34</v>
      </c>
      <c r="D114" s="70" t="s">
        <v>168</v>
      </c>
      <c r="E114" s="70">
        <v>2</v>
      </c>
      <c r="F114" s="70" t="s">
        <v>756</v>
      </c>
      <c r="G114" s="70" t="s">
        <v>757</v>
      </c>
      <c r="H114" s="143">
        <v>189.9</v>
      </c>
      <c r="I114" s="142">
        <f t="shared" ref="I114:I118" si="4">E114*H114</f>
        <v>379.8</v>
      </c>
      <c r="J114" s="70" t="s">
        <v>20</v>
      </c>
      <c r="K114" s="70" t="s">
        <v>21</v>
      </c>
      <c r="L114" s="70" t="s">
        <v>758</v>
      </c>
      <c r="M114" s="70" t="s">
        <v>758</v>
      </c>
      <c r="N114" s="71" t="s">
        <v>2296</v>
      </c>
    </row>
    <row r="115" spans="1:14" ht="36.75">
      <c r="A115" s="50">
        <v>115</v>
      </c>
      <c r="B115" s="128" t="s">
        <v>2299</v>
      </c>
      <c r="C115" s="70" t="s">
        <v>34</v>
      </c>
      <c r="D115" s="70" t="s">
        <v>168</v>
      </c>
      <c r="E115" s="70">
        <v>1</v>
      </c>
      <c r="F115" s="70" t="s">
        <v>756</v>
      </c>
      <c r="G115" s="70" t="s">
        <v>757</v>
      </c>
      <c r="H115" s="141">
        <v>300</v>
      </c>
      <c r="I115" s="142">
        <f t="shared" si="4"/>
        <v>300</v>
      </c>
      <c r="J115" s="70" t="s">
        <v>20</v>
      </c>
      <c r="K115" s="70" t="s">
        <v>21</v>
      </c>
      <c r="L115" s="70" t="s">
        <v>758</v>
      </c>
      <c r="M115" s="70" t="s">
        <v>758</v>
      </c>
      <c r="N115" s="71" t="s">
        <v>2296</v>
      </c>
    </row>
    <row r="116" spans="1:14" ht="36.75">
      <c r="A116" s="50">
        <v>116</v>
      </c>
      <c r="B116" s="60" t="s">
        <v>798</v>
      </c>
      <c r="C116" s="70" t="s">
        <v>34</v>
      </c>
      <c r="D116" s="70" t="s">
        <v>168</v>
      </c>
      <c r="E116" s="70">
        <v>1</v>
      </c>
      <c r="F116" s="70" t="s">
        <v>756</v>
      </c>
      <c r="G116" s="70" t="s">
        <v>757</v>
      </c>
      <c r="H116" s="141">
        <v>100</v>
      </c>
      <c r="I116" s="142">
        <f t="shared" si="4"/>
        <v>100</v>
      </c>
      <c r="J116" s="70" t="s">
        <v>20</v>
      </c>
      <c r="K116" s="70" t="s">
        <v>21</v>
      </c>
      <c r="L116" s="70" t="s">
        <v>758</v>
      </c>
      <c r="M116" s="70" t="s">
        <v>758</v>
      </c>
      <c r="N116" s="71" t="s">
        <v>2296</v>
      </c>
    </row>
    <row r="117" spans="1:14" ht="36.75">
      <c r="A117" s="50">
        <v>117</v>
      </c>
      <c r="B117" s="60" t="s">
        <v>2300</v>
      </c>
      <c r="C117" s="70" t="s">
        <v>34</v>
      </c>
      <c r="D117" s="70" t="s">
        <v>168</v>
      </c>
      <c r="E117" s="70">
        <v>5</v>
      </c>
      <c r="F117" s="70" t="s">
        <v>756</v>
      </c>
      <c r="G117" s="70" t="s">
        <v>757</v>
      </c>
      <c r="H117" s="143">
        <v>1189.9000000000001</v>
      </c>
      <c r="I117" s="142">
        <f t="shared" si="4"/>
        <v>5949.5</v>
      </c>
      <c r="J117" s="70" t="s">
        <v>20</v>
      </c>
      <c r="K117" s="70" t="s">
        <v>21</v>
      </c>
      <c r="L117" s="70" t="s">
        <v>758</v>
      </c>
      <c r="M117" s="70" t="s">
        <v>758</v>
      </c>
      <c r="N117" s="71" t="s">
        <v>2296</v>
      </c>
    </row>
    <row r="118" spans="1:14" ht="36.75">
      <c r="A118" s="50">
        <v>118</v>
      </c>
      <c r="B118" s="60" t="s">
        <v>799</v>
      </c>
      <c r="C118" s="70" t="s">
        <v>172</v>
      </c>
      <c r="D118" s="70" t="s">
        <v>168</v>
      </c>
      <c r="E118" s="70">
        <v>6</v>
      </c>
      <c r="F118" s="70" t="s">
        <v>756</v>
      </c>
      <c r="G118" s="70" t="s">
        <v>757</v>
      </c>
      <c r="H118" s="144">
        <v>369</v>
      </c>
      <c r="I118" s="142">
        <f t="shared" si="4"/>
        <v>2214</v>
      </c>
      <c r="J118" s="70" t="s">
        <v>20</v>
      </c>
      <c r="K118" s="70" t="s">
        <v>21</v>
      </c>
      <c r="L118" s="70" t="s">
        <v>758</v>
      </c>
      <c r="M118" s="70" t="s">
        <v>758</v>
      </c>
      <c r="N118" s="71" t="s">
        <v>2296</v>
      </c>
    </row>
    <row r="119" spans="1:14" ht="36.75">
      <c r="A119" s="50">
        <v>119</v>
      </c>
      <c r="B119" s="60" t="s">
        <v>2250</v>
      </c>
      <c r="C119" s="70" t="s">
        <v>34</v>
      </c>
      <c r="D119" s="70" t="s">
        <v>168</v>
      </c>
      <c r="E119" s="70">
        <v>1</v>
      </c>
      <c r="F119" s="70" t="s">
        <v>756</v>
      </c>
      <c r="G119" s="70" t="s">
        <v>757</v>
      </c>
      <c r="H119" s="145">
        <v>80000</v>
      </c>
      <c r="I119" s="139"/>
      <c r="J119" s="70" t="s">
        <v>20</v>
      </c>
      <c r="K119" s="70" t="s">
        <v>21</v>
      </c>
      <c r="L119" s="70" t="s">
        <v>758</v>
      </c>
      <c r="M119" s="70" t="s">
        <v>758</v>
      </c>
      <c r="N119" s="71" t="s">
        <v>2296</v>
      </c>
    </row>
    <row r="120" spans="1:14" ht="36.75">
      <c r="A120" s="50">
        <v>120</v>
      </c>
      <c r="B120" s="60" t="s">
        <v>2301</v>
      </c>
      <c r="C120" s="70" t="s">
        <v>34</v>
      </c>
      <c r="D120" s="70" t="s">
        <v>168</v>
      </c>
      <c r="E120" s="70">
        <v>4</v>
      </c>
      <c r="F120" s="70" t="s">
        <v>756</v>
      </c>
      <c r="G120" s="70" t="s">
        <v>757</v>
      </c>
      <c r="H120" s="137">
        <v>80</v>
      </c>
      <c r="I120" s="137">
        <f>E120*H120</f>
        <v>320</v>
      </c>
      <c r="J120" s="70" t="s">
        <v>758</v>
      </c>
      <c r="K120" s="70" t="s">
        <v>21</v>
      </c>
      <c r="L120" s="70" t="s">
        <v>758</v>
      </c>
      <c r="M120" s="70" t="s">
        <v>758</v>
      </c>
      <c r="N120" s="71" t="s">
        <v>2296</v>
      </c>
    </row>
    <row r="121" spans="1:14" ht="36.75">
      <c r="A121" s="50">
        <v>121</v>
      </c>
      <c r="B121" s="60" t="s">
        <v>803</v>
      </c>
      <c r="C121" s="70" t="s">
        <v>34</v>
      </c>
      <c r="D121" s="70" t="s">
        <v>168</v>
      </c>
      <c r="E121" s="70">
        <v>4</v>
      </c>
      <c r="F121" s="70" t="s">
        <v>756</v>
      </c>
      <c r="G121" s="70" t="s">
        <v>757</v>
      </c>
      <c r="H121" s="137">
        <v>60</v>
      </c>
      <c r="I121" s="137">
        <f t="shared" ref="I121:I131" si="5">E121*H121</f>
        <v>240</v>
      </c>
      <c r="J121" s="70" t="s">
        <v>758</v>
      </c>
      <c r="K121" s="70" t="s">
        <v>21</v>
      </c>
      <c r="L121" s="70" t="s">
        <v>758</v>
      </c>
      <c r="M121" s="70" t="s">
        <v>758</v>
      </c>
      <c r="N121" s="71" t="s">
        <v>2296</v>
      </c>
    </row>
    <row r="122" spans="1:14" ht="36.75">
      <c r="A122" s="50">
        <v>122</v>
      </c>
      <c r="B122" s="60" t="s">
        <v>804</v>
      </c>
      <c r="C122" s="70" t="s">
        <v>34</v>
      </c>
      <c r="D122" s="70" t="s">
        <v>805</v>
      </c>
      <c r="E122" s="70">
        <v>1</v>
      </c>
      <c r="F122" s="70" t="s">
        <v>756</v>
      </c>
      <c r="G122" s="70" t="s">
        <v>757</v>
      </c>
      <c r="H122" s="137">
        <v>350</v>
      </c>
      <c r="I122" s="137">
        <f t="shared" si="5"/>
        <v>350</v>
      </c>
      <c r="J122" s="70" t="s">
        <v>758</v>
      </c>
      <c r="K122" s="70" t="s">
        <v>21</v>
      </c>
      <c r="L122" s="70" t="s">
        <v>758</v>
      </c>
      <c r="M122" s="70" t="s">
        <v>758</v>
      </c>
      <c r="N122" s="71" t="s">
        <v>2296</v>
      </c>
    </row>
    <row r="123" spans="1:14" ht="36.75">
      <c r="A123" s="50">
        <v>123</v>
      </c>
      <c r="B123" s="60" t="s">
        <v>806</v>
      </c>
      <c r="C123" s="70" t="s">
        <v>34</v>
      </c>
      <c r="D123" s="70" t="s">
        <v>168</v>
      </c>
      <c r="E123" s="70">
        <v>1</v>
      </c>
      <c r="F123" s="70" t="s">
        <v>756</v>
      </c>
      <c r="G123" s="70" t="s">
        <v>757</v>
      </c>
      <c r="H123" s="137">
        <v>6500</v>
      </c>
      <c r="I123" s="137">
        <f t="shared" si="5"/>
        <v>6500</v>
      </c>
      <c r="J123" s="70" t="s">
        <v>758</v>
      </c>
      <c r="K123" s="70" t="s">
        <v>21</v>
      </c>
      <c r="L123" s="70" t="s">
        <v>758</v>
      </c>
      <c r="M123" s="70" t="s">
        <v>758</v>
      </c>
      <c r="N123" s="71" t="s">
        <v>2296</v>
      </c>
    </row>
    <row r="124" spans="1:14" ht="48.75">
      <c r="A124" s="50">
        <v>124</v>
      </c>
      <c r="B124" s="60" t="s">
        <v>807</v>
      </c>
      <c r="C124" s="70" t="s">
        <v>34</v>
      </c>
      <c r="D124" s="70" t="s">
        <v>168</v>
      </c>
      <c r="E124" s="70">
        <v>4</v>
      </c>
      <c r="F124" s="70" t="s">
        <v>756</v>
      </c>
      <c r="G124" s="70" t="s">
        <v>757</v>
      </c>
      <c r="H124" s="146">
        <v>2399</v>
      </c>
      <c r="I124" s="137">
        <f t="shared" si="5"/>
        <v>9596</v>
      </c>
      <c r="J124" s="70" t="s">
        <v>758</v>
      </c>
      <c r="K124" s="70" t="s">
        <v>21</v>
      </c>
      <c r="L124" s="70" t="s">
        <v>758</v>
      </c>
      <c r="M124" s="70" t="s">
        <v>758</v>
      </c>
      <c r="N124" s="71" t="s">
        <v>2296</v>
      </c>
    </row>
    <row r="125" spans="1:14" ht="45">
      <c r="A125" s="50">
        <v>125</v>
      </c>
      <c r="B125" s="133" t="s">
        <v>2225</v>
      </c>
      <c r="C125" s="70" t="s">
        <v>34</v>
      </c>
      <c r="D125" s="70" t="s">
        <v>168</v>
      </c>
      <c r="E125" s="70">
        <v>4</v>
      </c>
      <c r="F125" s="70" t="s">
        <v>756</v>
      </c>
      <c r="G125" s="70" t="s">
        <v>757</v>
      </c>
      <c r="H125" s="146">
        <v>4928.07</v>
      </c>
      <c r="I125" s="137">
        <f t="shared" si="5"/>
        <v>19712.28</v>
      </c>
      <c r="J125" s="70" t="s">
        <v>758</v>
      </c>
      <c r="K125" s="70" t="s">
        <v>21</v>
      </c>
      <c r="L125" s="70" t="s">
        <v>758</v>
      </c>
      <c r="M125" s="70" t="s">
        <v>758</v>
      </c>
      <c r="N125" s="71" t="s">
        <v>2296</v>
      </c>
    </row>
    <row r="126" spans="1:14" ht="36.75">
      <c r="A126" s="50">
        <v>126</v>
      </c>
      <c r="B126" s="147" t="s">
        <v>809</v>
      </c>
      <c r="C126" s="70" t="s">
        <v>34</v>
      </c>
      <c r="D126" s="70" t="s">
        <v>168</v>
      </c>
      <c r="E126" s="138">
        <v>1</v>
      </c>
      <c r="F126" s="70" t="s">
        <v>756</v>
      </c>
      <c r="G126" s="70" t="s">
        <v>757</v>
      </c>
      <c r="H126" s="137">
        <v>50</v>
      </c>
      <c r="I126" s="137">
        <f t="shared" si="5"/>
        <v>50</v>
      </c>
      <c r="J126" s="70" t="s">
        <v>758</v>
      </c>
      <c r="K126" s="70" t="s">
        <v>21</v>
      </c>
      <c r="L126" s="70" t="s">
        <v>758</v>
      </c>
      <c r="M126" s="70" t="s">
        <v>758</v>
      </c>
      <c r="N126" s="71" t="s">
        <v>2296</v>
      </c>
    </row>
    <row r="127" spans="1:14" ht="48.75">
      <c r="A127" s="50">
        <v>127</v>
      </c>
      <c r="B127" s="60" t="s">
        <v>2302</v>
      </c>
      <c r="C127" s="3" t="s">
        <v>34</v>
      </c>
      <c r="D127" s="70" t="s">
        <v>168</v>
      </c>
      <c r="E127" s="37">
        <v>1</v>
      </c>
      <c r="F127" s="70" t="s">
        <v>756</v>
      </c>
      <c r="G127" s="70" t="s">
        <v>757</v>
      </c>
      <c r="H127" s="137">
        <v>3200</v>
      </c>
      <c r="I127" s="137">
        <f t="shared" si="5"/>
        <v>3200</v>
      </c>
      <c r="J127" s="70" t="s">
        <v>758</v>
      </c>
      <c r="K127" s="70" t="s">
        <v>21</v>
      </c>
      <c r="L127" s="70" t="s">
        <v>758</v>
      </c>
      <c r="M127" s="70" t="s">
        <v>758</v>
      </c>
      <c r="N127" s="71" t="s">
        <v>2296</v>
      </c>
    </row>
    <row r="128" spans="1:14" ht="60">
      <c r="A128" s="50">
        <v>128</v>
      </c>
      <c r="B128" s="134" t="s">
        <v>2290</v>
      </c>
      <c r="C128" s="3" t="s">
        <v>34</v>
      </c>
      <c r="D128" s="70" t="s">
        <v>168</v>
      </c>
      <c r="E128" s="37">
        <v>1</v>
      </c>
      <c r="F128" s="70" t="s">
        <v>756</v>
      </c>
      <c r="G128" s="70" t="s">
        <v>757</v>
      </c>
      <c r="H128" s="137">
        <v>729.9</v>
      </c>
      <c r="I128" s="137">
        <f t="shared" si="5"/>
        <v>729.9</v>
      </c>
      <c r="J128" s="70" t="s">
        <v>758</v>
      </c>
      <c r="K128" s="70" t="s">
        <v>21</v>
      </c>
      <c r="L128" s="70" t="s">
        <v>758</v>
      </c>
      <c r="M128" s="70" t="s">
        <v>758</v>
      </c>
      <c r="N128" s="71" t="s">
        <v>2296</v>
      </c>
    </row>
    <row r="129" spans="1:14" ht="36.75">
      <c r="A129" s="50">
        <v>129</v>
      </c>
      <c r="B129" s="60" t="s">
        <v>2303</v>
      </c>
      <c r="C129" s="70" t="s">
        <v>34</v>
      </c>
      <c r="D129" s="70" t="s">
        <v>168</v>
      </c>
      <c r="E129" s="70">
        <v>50</v>
      </c>
      <c r="F129" s="70" t="s">
        <v>756</v>
      </c>
      <c r="G129" s="70" t="s">
        <v>757</v>
      </c>
      <c r="H129" s="137">
        <v>3.3</v>
      </c>
      <c r="I129" s="137">
        <f t="shared" si="5"/>
        <v>165</v>
      </c>
      <c r="J129" s="70" t="s">
        <v>758</v>
      </c>
      <c r="K129" s="70" t="s">
        <v>21</v>
      </c>
      <c r="L129" s="70" t="s">
        <v>758</v>
      </c>
      <c r="M129" s="70" t="s">
        <v>758</v>
      </c>
      <c r="N129" s="71" t="s">
        <v>2296</v>
      </c>
    </row>
    <row r="130" spans="1:14" ht="36.75">
      <c r="A130" s="50">
        <v>130</v>
      </c>
      <c r="B130" s="148" t="s">
        <v>808</v>
      </c>
      <c r="C130" s="70" t="s">
        <v>34</v>
      </c>
      <c r="D130" s="70" t="s">
        <v>168</v>
      </c>
      <c r="E130" s="70">
        <v>4</v>
      </c>
      <c r="F130" s="70" t="s">
        <v>756</v>
      </c>
      <c r="G130" s="70" t="s">
        <v>757</v>
      </c>
      <c r="H130" s="137">
        <v>289.89999999999998</v>
      </c>
      <c r="I130" s="137">
        <f t="shared" si="5"/>
        <v>1159.5999999999999</v>
      </c>
      <c r="J130" s="70" t="s">
        <v>758</v>
      </c>
      <c r="K130" s="70" t="s">
        <v>21</v>
      </c>
      <c r="L130" s="70" t="s">
        <v>758</v>
      </c>
      <c r="M130" s="70" t="s">
        <v>758</v>
      </c>
      <c r="N130" s="71" t="s">
        <v>2296</v>
      </c>
    </row>
    <row r="131" spans="1:14" ht="36.75">
      <c r="A131" s="50">
        <v>131</v>
      </c>
      <c r="B131" s="73" t="s">
        <v>2251</v>
      </c>
      <c r="C131" s="70" t="s">
        <v>34</v>
      </c>
      <c r="D131" s="70" t="s">
        <v>168</v>
      </c>
      <c r="E131" s="70">
        <v>2</v>
      </c>
      <c r="F131" s="70" t="s">
        <v>756</v>
      </c>
      <c r="G131" s="70" t="s">
        <v>757</v>
      </c>
      <c r="H131" s="136">
        <v>1099</v>
      </c>
      <c r="I131" s="137">
        <f t="shared" si="5"/>
        <v>2198</v>
      </c>
      <c r="J131" s="70" t="s">
        <v>758</v>
      </c>
      <c r="K131" s="70" t="s">
        <v>21</v>
      </c>
      <c r="L131" s="70" t="s">
        <v>758</v>
      </c>
      <c r="M131" s="70" t="s">
        <v>758</v>
      </c>
      <c r="N131" s="71" t="s">
        <v>2296</v>
      </c>
    </row>
    <row r="132" spans="1:14" ht="51.75">
      <c r="A132" s="50">
        <v>132</v>
      </c>
      <c r="B132" s="70" t="s">
        <v>2291</v>
      </c>
      <c r="C132" s="70" t="s">
        <v>347</v>
      </c>
      <c r="D132" s="70" t="s">
        <v>2253</v>
      </c>
      <c r="E132" s="70">
        <v>2</v>
      </c>
      <c r="F132" s="70" t="s">
        <v>2254</v>
      </c>
      <c r="G132" s="70" t="s">
        <v>757</v>
      </c>
      <c r="H132" s="136">
        <v>600</v>
      </c>
      <c r="I132" s="149">
        <f>E132*H132</f>
        <v>1200</v>
      </c>
      <c r="J132" s="70" t="s">
        <v>20</v>
      </c>
      <c r="K132" s="70" t="s">
        <v>331</v>
      </c>
      <c r="L132" s="70"/>
      <c r="M132" s="70"/>
      <c r="N132" s="71" t="s">
        <v>2296</v>
      </c>
    </row>
    <row r="133" spans="1:14" ht="51.75">
      <c r="A133" s="50">
        <v>133</v>
      </c>
      <c r="B133" s="70" t="s">
        <v>2255</v>
      </c>
      <c r="C133" s="70" t="s">
        <v>347</v>
      </c>
      <c r="D133" s="70" t="s">
        <v>2256</v>
      </c>
      <c r="E133" s="70">
        <v>12</v>
      </c>
      <c r="F133" s="70" t="s">
        <v>2254</v>
      </c>
      <c r="G133" s="70" t="s">
        <v>757</v>
      </c>
      <c r="H133" s="136">
        <v>170.33</v>
      </c>
      <c r="I133" s="149">
        <f>E133*H133</f>
        <v>2043.96</v>
      </c>
      <c r="J133" s="70" t="s">
        <v>20</v>
      </c>
      <c r="K133" s="70" t="s">
        <v>331</v>
      </c>
      <c r="L133" s="70"/>
      <c r="M133" s="70"/>
      <c r="N133" s="71" t="s">
        <v>2296</v>
      </c>
    </row>
    <row r="134" spans="1:14" ht="36.75">
      <c r="A134" s="50">
        <v>134</v>
      </c>
      <c r="B134" s="60" t="s">
        <v>812</v>
      </c>
      <c r="C134" s="70" t="s">
        <v>801</v>
      </c>
      <c r="D134" s="70" t="s">
        <v>811</v>
      </c>
      <c r="E134" s="70">
        <v>60</v>
      </c>
      <c r="F134" s="70" t="s">
        <v>813</v>
      </c>
      <c r="G134" s="70" t="s">
        <v>757</v>
      </c>
      <c r="H134" s="136">
        <v>12</v>
      </c>
      <c r="I134" s="149">
        <f>E134*H134</f>
        <v>720</v>
      </c>
      <c r="J134" s="70" t="s">
        <v>20</v>
      </c>
      <c r="K134" s="70" t="s">
        <v>331</v>
      </c>
      <c r="L134" s="70"/>
      <c r="M134" s="70"/>
      <c r="N134" s="71" t="s">
        <v>2296</v>
      </c>
    </row>
  </sheetData>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2E52A-60CB-419A-A56C-AA8FF1DA21CB}">
  <dimension ref="A1:N49"/>
  <sheetViews>
    <sheetView workbookViewId="0">
      <selection activeCell="F4" sqref="F4"/>
    </sheetView>
  </sheetViews>
  <sheetFormatPr defaultRowHeight="15"/>
  <cols>
    <col min="2" max="2" width="40.42578125" bestFit="1" customWidth="1"/>
  </cols>
  <sheetData>
    <row r="1" spans="1:14" ht="46.5">
      <c r="A1" s="49" t="s">
        <v>0</v>
      </c>
      <c r="B1" s="49" t="s">
        <v>409</v>
      </c>
      <c r="C1" s="49" t="s">
        <v>410</v>
      </c>
      <c r="D1" s="49" t="s">
        <v>1</v>
      </c>
      <c r="E1" s="49" t="s">
        <v>582</v>
      </c>
      <c r="F1" s="49" t="s">
        <v>8</v>
      </c>
      <c r="G1" s="49" t="s">
        <v>412</v>
      </c>
      <c r="H1" s="49" t="s">
        <v>753</v>
      </c>
      <c r="I1" s="67" t="s">
        <v>3</v>
      </c>
      <c r="J1" s="59" t="s">
        <v>4</v>
      </c>
      <c r="K1" s="59" t="s">
        <v>5</v>
      </c>
      <c r="L1" s="59" t="s">
        <v>413</v>
      </c>
      <c r="M1" s="59" t="s">
        <v>7</v>
      </c>
      <c r="N1" s="59" t="s">
        <v>12</v>
      </c>
    </row>
    <row r="2" spans="1:14" ht="48.75">
      <c r="A2" s="50">
        <v>1</v>
      </c>
      <c r="B2" s="56" t="s">
        <v>754</v>
      </c>
      <c r="C2" s="48" t="s">
        <v>34</v>
      </c>
      <c r="D2" s="48" t="s">
        <v>755</v>
      </c>
      <c r="E2" s="48">
        <v>12</v>
      </c>
      <c r="F2" s="48" t="s">
        <v>756</v>
      </c>
      <c r="G2" s="48" t="s">
        <v>757</v>
      </c>
      <c r="H2" s="54">
        <v>1.2</v>
      </c>
      <c r="I2" s="68">
        <f>E2*H2</f>
        <v>14.399999999999999</v>
      </c>
      <c r="J2" s="48" t="s">
        <v>758</v>
      </c>
      <c r="K2" s="48" t="s">
        <v>21</v>
      </c>
      <c r="L2" s="48" t="s">
        <v>758</v>
      </c>
      <c r="M2" s="48" t="s">
        <v>758</v>
      </c>
      <c r="N2" s="71" t="s">
        <v>2304</v>
      </c>
    </row>
    <row r="3" spans="1:14" ht="48.75">
      <c r="A3" s="50">
        <v>2</v>
      </c>
      <c r="B3" s="56" t="s">
        <v>760</v>
      </c>
      <c r="C3" s="48" t="s">
        <v>34</v>
      </c>
      <c r="D3" s="48" t="s">
        <v>755</v>
      </c>
      <c r="E3" s="52">
        <v>12</v>
      </c>
      <c r="F3" s="48" t="s">
        <v>756</v>
      </c>
      <c r="G3" s="48" t="s">
        <v>757</v>
      </c>
      <c r="H3" s="54">
        <v>1.2</v>
      </c>
      <c r="I3" s="68">
        <f t="shared" ref="I3:I47" si="0">E3*H3</f>
        <v>14.399999999999999</v>
      </c>
      <c r="J3" s="48" t="s">
        <v>758</v>
      </c>
      <c r="K3" s="48" t="s">
        <v>21</v>
      </c>
      <c r="L3" s="48" t="s">
        <v>758</v>
      </c>
      <c r="M3" s="48" t="s">
        <v>758</v>
      </c>
      <c r="N3" s="71" t="s">
        <v>2304</v>
      </c>
    </row>
    <row r="4" spans="1:14" ht="48.75">
      <c r="A4" s="50">
        <v>3</v>
      </c>
      <c r="B4" s="56" t="s">
        <v>761</v>
      </c>
      <c r="C4" s="48" t="s">
        <v>34</v>
      </c>
      <c r="D4" s="48" t="s">
        <v>755</v>
      </c>
      <c r="E4" s="48">
        <v>6</v>
      </c>
      <c r="F4" s="48" t="s">
        <v>756</v>
      </c>
      <c r="G4" s="48" t="s">
        <v>757</v>
      </c>
      <c r="H4" s="54">
        <v>1.2</v>
      </c>
      <c r="I4" s="68">
        <f t="shared" si="0"/>
        <v>7.1999999999999993</v>
      </c>
      <c r="J4" s="48" t="s">
        <v>758</v>
      </c>
      <c r="K4" s="48" t="s">
        <v>21</v>
      </c>
      <c r="L4" s="48" t="s">
        <v>758</v>
      </c>
      <c r="M4" s="48" t="s">
        <v>758</v>
      </c>
      <c r="N4" s="71" t="s">
        <v>2304</v>
      </c>
    </row>
    <row r="5" spans="1:14" ht="48.75">
      <c r="A5" s="50">
        <v>4</v>
      </c>
      <c r="B5" s="56" t="s">
        <v>762</v>
      </c>
      <c r="C5" s="48" t="s">
        <v>34</v>
      </c>
      <c r="D5" s="48" t="s">
        <v>755</v>
      </c>
      <c r="E5" s="48">
        <v>6</v>
      </c>
      <c r="F5" s="48" t="s">
        <v>756</v>
      </c>
      <c r="G5" s="48" t="s">
        <v>757</v>
      </c>
      <c r="H5" s="54">
        <v>1.8</v>
      </c>
      <c r="I5" s="68">
        <f t="shared" si="0"/>
        <v>10.8</v>
      </c>
      <c r="J5" s="48" t="s">
        <v>758</v>
      </c>
      <c r="K5" s="48" t="s">
        <v>21</v>
      </c>
      <c r="L5" s="48" t="s">
        <v>758</v>
      </c>
      <c r="M5" s="48" t="s">
        <v>758</v>
      </c>
      <c r="N5" s="71" t="s">
        <v>2304</v>
      </c>
    </row>
    <row r="6" spans="1:14" ht="48.75">
      <c r="A6" s="50">
        <v>5</v>
      </c>
      <c r="B6" s="56" t="s">
        <v>763</v>
      </c>
      <c r="C6" s="48" t="s">
        <v>34</v>
      </c>
      <c r="D6" s="48" t="s">
        <v>755</v>
      </c>
      <c r="E6" s="48">
        <v>6</v>
      </c>
      <c r="F6" s="48" t="s">
        <v>756</v>
      </c>
      <c r="G6" s="48" t="s">
        <v>757</v>
      </c>
      <c r="H6" s="54">
        <v>1.8</v>
      </c>
      <c r="I6" s="68">
        <f t="shared" si="0"/>
        <v>10.8</v>
      </c>
      <c r="J6" s="48" t="s">
        <v>758</v>
      </c>
      <c r="K6" s="48" t="s">
        <v>21</v>
      </c>
      <c r="L6" s="48" t="s">
        <v>758</v>
      </c>
      <c r="M6" s="48" t="s">
        <v>758</v>
      </c>
      <c r="N6" s="71" t="s">
        <v>2304</v>
      </c>
    </row>
    <row r="7" spans="1:14" ht="48.75">
      <c r="A7" s="50">
        <v>6</v>
      </c>
      <c r="B7" s="56" t="s">
        <v>764</v>
      </c>
      <c r="C7" s="48" t="s">
        <v>34</v>
      </c>
      <c r="D7" s="48" t="s">
        <v>755</v>
      </c>
      <c r="E7" s="48">
        <v>6</v>
      </c>
      <c r="F7" s="48" t="s">
        <v>765</v>
      </c>
      <c r="G7" s="48" t="s">
        <v>757</v>
      </c>
      <c r="H7" s="54">
        <v>1.8</v>
      </c>
      <c r="I7" s="68">
        <f t="shared" si="0"/>
        <v>10.8</v>
      </c>
      <c r="J7" s="48" t="s">
        <v>758</v>
      </c>
      <c r="K7" s="48" t="s">
        <v>21</v>
      </c>
      <c r="L7" s="48" t="s">
        <v>758</v>
      </c>
      <c r="M7" s="48" t="s">
        <v>758</v>
      </c>
      <c r="N7" s="71" t="s">
        <v>2304</v>
      </c>
    </row>
    <row r="8" spans="1:14" ht="48.75">
      <c r="A8" s="50">
        <v>7</v>
      </c>
      <c r="B8" s="57" t="s">
        <v>766</v>
      </c>
      <c r="C8" s="48" t="s">
        <v>34</v>
      </c>
      <c r="D8" s="48" t="s">
        <v>755</v>
      </c>
      <c r="E8" s="48">
        <v>6</v>
      </c>
      <c r="F8" s="48" t="s">
        <v>756</v>
      </c>
      <c r="G8" s="48" t="s">
        <v>757</v>
      </c>
      <c r="H8" s="54">
        <v>1.9</v>
      </c>
      <c r="I8" s="68">
        <f t="shared" si="0"/>
        <v>11.399999999999999</v>
      </c>
      <c r="J8" s="48" t="s">
        <v>758</v>
      </c>
      <c r="K8" s="48" t="s">
        <v>21</v>
      </c>
      <c r="L8" s="48" t="s">
        <v>758</v>
      </c>
      <c r="M8" s="48" t="s">
        <v>758</v>
      </c>
      <c r="N8" s="71" t="s">
        <v>2304</v>
      </c>
    </row>
    <row r="9" spans="1:14" ht="48.75">
      <c r="A9" s="50">
        <v>8</v>
      </c>
      <c r="B9" s="57" t="s">
        <v>767</v>
      </c>
      <c r="C9" s="48" t="s">
        <v>34</v>
      </c>
      <c r="D9" s="48" t="s">
        <v>755</v>
      </c>
      <c r="E9" s="48">
        <v>6</v>
      </c>
      <c r="F9" s="48" t="s">
        <v>756</v>
      </c>
      <c r="G9" s="48" t="s">
        <v>757</v>
      </c>
      <c r="H9" s="54">
        <v>1.9</v>
      </c>
      <c r="I9" s="68">
        <f t="shared" si="0"/>
        <v>11.399999999999999</v>
      </c>
      <c r="J9" s="48" t="s">
        <v>758</v>
      </c>
      <c r="K9" s="48" t="s">
        <v>21</v>
      </c>
      <c r="L9" s="48" t="s">
        <v>758</v>
      </c>
      <c r="M9" s="48" t="s">
        <v>758</v>
      </c>
      <c r="N9" s="71" t="s">
        <v>2304</v>
      </c>
    </row>
    <row r="10" spans="1:14" ht="48.75">
      <c r="A10" s="50">
        <v>9</v>
      </c>
      <c r="B10" s="57" t="s">
        <v>768</v>
      </c>
      <c r="C10" s="48" t="s">
        <v>34</v>
      </c>
      <c r="D10" s="48" t="s">
        <v>755</v>
      </c>
      <c r="E10" s="48">
        <v>6</v>
      </c>
      <c r="F10" s="48" t="s">
        <v>756</v>
      </c>
      <c r="G10" s="48" t="s">
        <v>757</v>
      </c>
      <c r="H10" s="54">
        <v>1.9</v>
      </c>
      <c r="I10" s="68">
        <f t="shared" si="0"/>
        <v>11.399999999999999</v>
      </c>
      <c r="J10" s="48" t="s">
        <v>758</v>
      </c>
      <c r="K10" s="48" t="s">
        <v>21</v>
      </c>
      <c r="L10" s="48" t="s">
        <v>758</v>
      </c>
      <c r="M10" s="48" t="s">
        <v>758</v>
      </c>
      <c r="N10" s="71" t="s">
        <v>2304</v>
      </c>
    </row>
    <row r="11" spans="1:14" ht="48.75">
      <c r="A11" s="50">
        <v>10</v>
      </c>
      <c r="B11" s="56" t="s">
        <v>769</v>
      </c>
      <c r="C11" s="48" t="s">
        <v>34</v>
      </c>
      <c r="D11" s="48" t="s">
        <v>755</v>
      </c>
      <c r="E11" s="48">
        <v>12</v>
      </c>
      <c r="F11" s="48" t="s">
        <v>756</v>
      </c>
      <c r="G11" s="48" t="s">
        <v>757</v>
      </c>
      <c r="H11" s="54">
        <v>1</v>
      </c>
      <c r="I11" s="68">
        <f t="shared" si="0"/>
        <v>12</v>
      </c>
      <c r="J11" s="48" t="s">
        <v>758</v>
      </c>
      <c r="K11" s="48" t="s">
        <v>21</v>
      </c>
      <c r="L11" s="48" t="s">
        <v>758</v>
      </c>
      <c r="M11" s="48" t="s">
        <v>758</v>
      </c>
      <c r="N11" s="71" t="s">
        <v>2304</v>
      </c>
    </row>
    <row r="12" spans="1:14" ht="48.75">
      <c r="A12" s="50">
        <v>10</v>
      </c>
      <c r="B12" s="56" t="s">
        <v>770</v>
      </c>
      <c r="C12" s="48" t="s">
        <v>34</v>
      </c>
      <c r="D12" s="48" t="s">
        <v>755</v>
      </c>
      <c r="E12" s="48">
        <v>10</v>
      </c>
      <c r="F12" s="48" t="s">
        <v>765</v>
      </c>
      <c r="G12" s="48" t="s">
        <v>757</v>
      </c>
      <c r="H12" s="54">
        <v>32.9</v>
      </c>
      <c r="I12" s="68">
        <f t="shared" si="0"/>
        <v>329</v>
      </c>
      <c r="J12" s="48" t="s">
        <v>758</v>
      </c>
      <c r="K12" s="48" t="s">
        <v>21</v>
      </c>
      <c r="L12" s="48" t="s">
        <v>758</v>
      </c>
      <c r="M12" s="48" t="s">
        <v>758</v>
      </c>
      <c r="N12" s="71" t="s">
        <v>2304</v>
      </c>
    </row>
    <row r="13" spans="1:14" ht="48.75">
      <c r="A13" s="50">
        <v>12</v>
      </c>
      <c r="B13" s="56" t="s">
        <v>771</v>
      </c>
      <c r="C13" s="48" t="s">
        <v>34</v>
      </c>
      <c r="D13" s="48" t="s">
        <v>755</v>
      </c>
      <c r="E13" s="48">
        <v>5</v>
      </c>
      <c r="F13" s="48" t="s">
        <v>681</v>
      </c>
      <c r="G13" s="48" t="s">
        <v>757</v>
      </c>
      <c r="H13" s="54">
        <v>34.9</v>
      </c>
      <c r="I13" s="68">
        <f t="shared" si="0"/>
        <v>174.5</v>
      </c>
      <c r="J13" s="48" t="s">
        <v>758</v>
      </c>
      <c r="K13" s="48" t="s">
        <v>21</v>
      </c>
      <c r="L13" s="48" t="s">
        <v>758</v>
      </c>
      <c r="M13" s="48" t="s">
        <v>758</v>
      </c>
      <c r="N13" s="71" t="s">
        <v>2304</v>
      </c>
    </row>
    <row r="14" spans="1:14" ht="48.75">
      <c r="A14" s="50">
        <v>13</v>
      </c>
      <c r="B14" s="56" t="s">
        <v>772</v>
      </c>
      <c r="C14" s="48" t="s">
        <v>34</v>
      </c>
      <c r="D14" s="48" t="s">
        <v>755</v>
      </c>
      <c r="E14" s="48">
        <v>2</v>
      </c>
      <c r="F14" s="48" t="s">
        <v>681</v>
      </c>
      <c r="G14" s="48" t="s">
        <v>757</v>
      </c>
      <c r="H14" s="54">
        <v>13.5</v>
      </c>
      <c r="I14" s="68">
        <f t="shared" si="0"/>
        <v>27</v>
      </c>
      <c r="J14" s="48" t="s">
        <v>758</v>
      </c>
      <c r="K14" s="48" t="s">
        <v>21</v>
      </c>
      <c r="L14" s="48" t="s">
        <v>758</v>
      </c>
      <c r="M14" s="48" t="s">
        <v>758</v>
      </c>
      <c r="N14" s="71" t="s">
        <v>2304</v>
      </c>
    </row>
    <row r="15" spans="1:14" ht="48.75">
      <c r="A15" s="50">
        <v>14</v>
      </c>
      <c r="B15" s="56" t="s">
        <v>773</v>
      </c>
      <c r="C15" s="51" t="s">
        <v>34</v>
      </c>
      <c r="D15" s="48" t="s">
        <v>755</v>
      </c>
      <c r="E15" s="48">
        <v>2</v>
      </c>
      <c r="F15" s="48" t="s">
        <v>681</v>
      </c>
      <c r="G15" s="48" t="s">
        <v>757</v>
      </c>
      <c r="H15" s="54">
        <v>14.9</v>
      </c>
      <c r="I15" s="68">
        <f t="shared" si="0"/>
        <v>29.8</v>
      </c>
      <c r="J15" s="48" t="s">
        <v>758</v>
      </c>
      <c r="K15" s="48" t="s">
        <v>21</v>
      </c>
      <c r="L15" s="48" t="s">
        <v>758</v>
      </c>
      <c r="M15" s="48" t="s">
        <v>758</v>
      </c>
      <c r="N15" s="71" t="s">
        <v>2304</v>
      </c>
    </row>
    <row r="16" spans="1:14" ht="48.75">
      <c r="A16" s="50">
        <v>15</v>
      </c>
      <c r="B16" s="58" t="s">
        <v>774</v>
      </c>
      <c r="C16" s="51" t="s">
        <v>34</v>
      </c>
      <c r="D16" s="48" t="s">
        <v>755</v>
      </c>
      <c r="E16" s="48">
        <v>2</v>
      </c>
      <c r="F16" s="48" t="s">
        <v>681</v>
      </c>
      <c r="G16" s="51" t="s">
        <v>757</v>
      </c>
      <c r="H16" s="54">
        <v>22.9</v>
      </c>
      <c r="I16" s="68">
        <f t="shared" si="0"/>
        <v>45.8</v>
      </c>
      <c r="J16" s="48" t="s">
        <v>758</v>
      </c>
      <c r="K16" s="48" t="s">
        <v>21</v>
      </c>
      <c r="L16" s="48" t="s">
        <v>758</v>
      </c>
      <c r="M16" s="48" t="s">
        <v>758</v>
      </c>
      <c r="N16" s="71" t="s">
        <v>2304</v>
      </c>
    </row>
    <row r="17" spans="1:14" ht="48.75">
      <c r="A17" s="50">
        <v>16</v>
      </c>
      <c r="B17" s="56" t="s">
        <v>775</v>
      </c>
      <c r="C17" s="48" t="s">
        <v>34</v>
      </c>
      <c r="D17" s="48" t="s">
        <v>755</v>
      </c>
      <c r="E17" s="48">
        <v>6</v>
      </c>
      <c r="F17" s="48" t="s">
        <v>756</v>
      </c>
      <c r="G17" s="48" t="s">
        <v>757</v>
      </c>
      <c r="H17" s="54">
        <v>2.4</v>
      </c>
      <c r="I17" s="68">
        <f t="shared" si="0"/>
        <v>14.399999999999999</v>
      </c>
      <c r="J17" s="48" t="s">
        <v>758</v>
      </c>
      <c r="K17" s="48" t="s">
        <v>21</v>
      </c>
      <c r="L17" s="48" t="s">
        <v>758</v>
      </c>
      <c r="M17" s="48" t="s">
        <v>758</v>
      </c>
      <c r="N17" s="71" t="s">
        <v>2304</v>
      </c>
    </row>
    <row r="18" spans="1:14" ht="48.75">
      <c r="A18" s="50">
        <v>17</v>
      </c>
      <c r="B18" s="56" t="s">
        <v>776</v>
      </c>
      <c r="C18" s="48" t="s">
        <v>34</v>
      </c>
      <c r="D18" s="48" t="s">
        <v>755</v>
      </c>
      <c r="E18" s="48">
        <v>6</v>
      </c>
      <c r="F18" s="51" t="s">
        <v>756</v>
      </c>
      <c r="G18" s="51" t="s">
        <v>757</v>
      </c>
      <c r="H18" s="54">
        <v>5.7</v>
      </c>
      <c r="I18" s="68">
        <f t="shared" si="0"/>
        <v>34.200000000000003</v>
      </c>
      <c r="J18" s="48" t="s">
        <v>758</v>
      </c>
      <c r="K18" s="48" t="s">
        <v>21</v>
      </c>
      <c r="L18" s="48" t="s">
        <v>758</v>
      </c>
      <c r="M18" s="48" t="s">
        <v>758</v>
      </c>
      <c r="N18" s="71" t="s">
        <v>2304</v>
      </c>
    </row>
    <row r="19" spans="1:14" ht="48.75">
      <c r="A19" s="50">
        <v>18</v>
      </c>
      <c r="B19" s="56" t="s">
        <v>777</v>
      </c>
      <c r="C19" s="51" t="s">
        <v>34</v>
      </c>
      <c r="D19" s="48" t="s">
        <v>755</v>
      </c>
      <c r="E19" s="48">
        <v>12</v>
      </c>
      <c r="F19" s="48" t="s">
        <v>756</v>
      </c>
      <c r="G19" s="48" t="s">
        <v>757</v>
      </c>
      <c r="H19" s="54">
        <v>7.9</v>
      </c>
      <c r="I19" s="68">
        <f t="shared" si="0"/>
        <v>94.800000000000011</v>
      </c>
      <c r="J19" s="48" t="s">
        <v>758</v>
      </c>
      <c r="K19" s="48" t="s">
        <v>21</v>
      </c>
      <c r="L19" s="48" t="s">
        <v>758</v>
      </c>
      <c r="M19" s="48" t="s">
        <v>758</v>
      </c>
      <c r="N19" s="71" t="s">
        <v>2304</v>
      </c>
    </row>
    <row r="20" spans="1:14" ht="48.75">
      <c r="A20" s="50">
        <v>19</v>
      </c>
      <c r="B20" s="56" t="s">
        <v>778</v>
      </c>
      <c r="C20" s="48" t="s">
        <v>34</v>
      </c>
      <c r="D20" s="48" t="s">
        <v>755</v>
      </c>
      <c r="E20" s="48">
        <v>12</v>
      </c>
      <c r="F20" s="51" t="s">
        <v>756</v>
      </c>
      <c r="G20" s="51" t="s">
        <v>757</v>
      </c>
      <c r="H20" s="54">
        <v>2.4500000000000002</v>
      </c>
      <c r="I20" s="68">
        <f t="shared" si="0"/>
        <v>29.400000000000002</v>
      </c>
      <c r="J20" s="48" t="s">
        <v>758</v>
      </c>
      <c r="K20" s="48" t="s">
        <v>21</v>
      </c>
      <c r="L20" s="48" t="s">
        <v>758</v>
      </c>
      <c r="M20" s="48" t="s">
        <v>758</v>
      </c>
      <c r="N20" s="71" t="s">
        <v>2304</v>
      </c>
    </row>
    <row r="21" spans="1:14" ht="48.75">
      <c r="A21" s="50">
        <v>20</v>
      </c>
      <c r="B21" s="56" t="s">
        <v>779</v>
      </c>
      <c r="C21" s="51" t="s">
        <v>34</v>
      </c>
      <c r="D21" s="48" t="s">
        <v>755</v>
      </c>
      <c r="E21" s="47">
        <v>20</v>
      </c>
      <c r="F21" s="46" t="s">
        <v>756</v>
      </c>
      <c r="G21" s="48" t="s">
        <v>757</v>
      </c>
      <c r="H21" s="54">
        <v>1</v>
      </c>
      <c r="I21" s="68">
        <f t="shared" si="0"/>
        <v>20</v>
      </c>
      <c r="J21" s="48" t="s">
        <v>758</v>
      </c>
      <c r="K21" s="48" t="s">
        <v>21</v>
      </c>
      <c r="L21" s="48" t="s">
        <v>758</v>
      </c>
      <c r="M21" s="48" t="s">
        <v>758</v>
      </c>
      <c r="N21" s="71" t="s">
        <v>2304</v>
      </c>
    </row>
    <row r="22" spans="1:14" ht="48.75">
      <c r="A22" s="50">
        <v>21</v>
      </c>
      <c r="B22" s="56" t="s">
        <v>779</v>
      </c>
      <c r="C22" s="51" t="s">
        <v>34</v>
      </c>
      <c r="D22" s="48" t="s">
        <v>755</v>
      </c>
      <c r="E22" s="47">
        <v>20</v>
      </c>
      <c r="F22" s="46" t="s">
        <v>756</v>
      </c>
      <c r="G22" s="48" t="s">
        <v>757</v>
      </c>
      <c r="H22" s="54">
        <v>1</v>
      </c>
      <c r="I22" s="68">
        <f t="shared" si="0"/>
        <v>20</v>
      </c>
      <c r="J22" s="48" t="s">
        <v>758</v>
      </c>
      <c r="K22" s="48" t="s">
        <v>21</v>
      </c>
      <c r="L22" s="48" t="s">
        <v>758</v>
      </c>
      <c r="M22" s="48" t="s">
        <v>758</v>
      </c>
      <c r="N22" s="71" t="s">
        <v>2304</v>
      </c>
    </row>
    <row r="23" spans="1:14" ht="48.75">
      <c r="A23" s="50">
        <v>22</v>
      </c>
      <c r="B23" s="60" t="s">
        <v>780</v>
      </c>
      <c r="C23" s="48" t="s">
        <v>34</v>
      </c>
      <c r="D23" s="48" t="s">
        <v>755</v>
      </c>
      <c r="E23" s="47">
        <v>20</v>
      </c>
      <c r="F23" s="46" t="s">
        <v>756</v>
      </c>
      <c r="G23" s="51" t="s">
        <v>757</v>
      </c>
      <c r="H23" s="54">
        <v>1</v>
      </c>
      <c r="I23" s="68">
        <f t="shared" si="0"/>
        <v>20</v>
      </c>
      <c r="J23" s="48" t="s">
        <v>758</v>
      </c>
      <c r="K23" s="48" t="s">
        <v>21</v>
      </c>
      <c r="L23" s="48" t="s">
        <v>758</v>
      </c>
      <c r="M23" s="48" t="s">
        <v>758</v>
      </c>
      <c r="N23" s="71" t="s">
        <v>2304</v>
      </c>
    </row>
    <row r="24" spans="1:14" ht="48.75">
      <c r="A24" s="50">
        <v>23</v>
      </c>
      <c r="B24" s="56" t="s">
        <v>781</v>
      </c>
      <c r="C24" s="48" t="s">
        <v>34</v>
      </c>
      <c r="D24" s="48" t="s">
        <v>755</v>
      </c>
      <c r="E24" s="47">
        <v>6</v>
      </c>
      <c r="F24" s="46" t="s">
        <v>756</v>
      </c>
      <c r="G24" s="48" t="s">
        <v>757</v>
      </c>
      <c r="H24" s="54">
        <v>6.5</v>
      </c>
      <c r="I24" s="68">
        <f t="shared" si="0"/>
        <v>39</v>
      </c>
      <c r="J24" s="48" t="s">
        <v>758</v>
      </c>
      <c r="K24" s="48" t="s">
        <v>21</v>
      </c>
      <c r="L24" s="48" t="s">
        <v>758</v>
      </c>
      <c r="M24" s="48" t="s">
        <v>758</v>
      </c>
      <c r="N24" s="71" t="s">
        <v>2304</v>
      </c>
    </row>
    <row r="25" spans="1:14" ht="48.75">
      <c r="A25" s="50">
        <v>24</v>
      </c>
      <c r="B25" s="56" t="s">
        <v>782</v>
      </c>
      <c r="C25" s="48" t="s">
        <v>34</v>
      </c>
      <c r="D25" s="48" t="s">
        <v>755</v>
      </c>
      <c r="E25" s="47">
        <v>20</v>
      </c>
      <c r="F25" s="46" t="s">
        <v>756</v>
      </c>
      <c r="G25" s="51" t="s">
        <v>757</v>
      </c>
      <c r="H25" s="54">
        <v>5.75</v>
      </c>
      <c r="I25" s="68">
        <f t="shared" si="0"/>
        <v>115</v>
      </c>
      <c r="J25" s="48" t="s">
        <v>758</v>
      </c>
      <c r="K25" s="48" t="s">
        <v>21</v>
      </c>
      <c r="L25" s="48" t="s">
        <v>758</v>
      </c>
      <c r="M25" s="48" t="s">
        <v>758</v>
      </c>
      <c r="N25" s="71" t="s">
        <v>2304</v>
      </c>
    </row>
    <row r="26" spans="1:14" ht="48.75">
      <c r="A26" s="50">
        <v>25</v>
      </c>
      <c r="B26" s="56" t="s">
        <v>783</v>
      </c>
      <c r="C26" s="48" t="s">
        <v>34</v>
      </c>
      <c r="D26" s="48" t="s">
        <v>755</v>
      </c>
      <c r="E26" s="47">
        <v>4</v>
      </c>
      <c r="F26" s="46" t="s">
        <v>756</v>
      </c>
      <c r="G26" s="48" t="s">
        <v>757</v>
      </c>
      <c r="H26" s="54">
        <v>5</v>
      </c>
      <c r="I26" s="68">
        <f t="shared" si="0"/>
        <v>20</v>
      </c>
      <c r="J26" s="48" t="s">
        <v>758</v>
      </c>
      <c r="K26" s="48" t="s">
        <v>21</v>
      </c>
      <c r="L26" s="48" t="s">
        <v>758</v>
      </c>
      <c r="M26" s="48" t="s">
        <v>758</v>
      </c>
      <c r="N26" s="71" t="s">
        <v>2304</v>
      </c>
    </row>
    <row r="27" spans="1:14" ht="48.75">
      <c r="A27" s="50">
        <v>26</v>
      </c>
      <c r="B27" s="56" t="s">
        <v>784</v>
      </c>
      <c r="C27" s="48" t="s">
        <v>34</v>
      </c>
      <c r="D27" s="48" t="s">
        <v>755</v>
      </c>
      <c r="E27" s="47">
        <v>2</v>
      </c>
      <c r="F27" s="46" t="s">
        <v>756</v>
      </c>
      <c r="G27" s="51" t="s">
        <v>757</v>
      </c>
      <c r="H27" s="54">
        <v>19.68</v>
      </c>
      <c r="I27" s="68">
        <f t="shared" si="0"/>
        <v>39.36</v>
      </c>
      <c r="J27" s="48" t="s">
        <v>758</v>
      </c>
      <c r="K27" s="48" t="s">
        <v>21</v>
      </c>
      <c r="L27" s="48" t="s">
        <v>758</v>
      </c>
      <c r="M27" s="48" t="s">
        <v>758</v>
      </c>
      <c r="N27" s="71" t="s">
        <v>2304</v>
      </c>
    </row>
    <row r="28" spans="1:14" ht="48.75">
      <c r="A28" s="50">
        <v>27</v>
      </c>
      <c r="B28" s="56" t="s">
        <v>785</v>
      </c>
      <c r="C28" s="51" t="s">
        <v>34</v>
      </c>
      <c r="D28" s="48" t="s">
        <v>755</v>
      </c>
      <c r="E28" s="47">
        <v>6</v>
      </c>
      <c r="F28" s="46" t="s">
        <v>756</v>
      </c>
      <c r="G28" s="48" t="s">
        <v>757</v>
      </c>
      <c r="H28" s="54">
        <v>9.99</v>
      </c>
      <c r="I28" s="68">
        <f t="shared" si="0"/>
        <v>59.94</v>
      </c>
      <c r="J28" s="48" t="s">
        <v>758</v>
      </c>
      <c r="K28" s="48" t="s">
        <v>21</v>
      </c>
      <c r="L28" s="48" t="s">
        <v>758</v>
      </c>
      <c r="M28" s="48" t="s">
        <v>758</v>
      </c>
      <c r="N28" s="71" t="s">
        <v>2304</v>
      </c>
    </row>
    <row r="29" spans="1:14" ht="48.75">
      <c r="A29" s="50">
        <v>28</v>
      </c>
      <c r="B29" s="56" t="s">
        <v>786</v>
      </c>
      <c r="C29" s="51" t="s">
        <v>34</v>
      </c>
      <c r="D29" s="48" t="s">
        <v>755</v>
      </c>
      <c r="E29" s="47">
        <v>2</v>
      </c>
      <c r="F29" s="46" t="s">
        <v>756</v>
      </c>
      <c r="G29" s="51" t="s">
        <v>757</v>
      </c>
      <c r="H29" s="54">
        <v>29.95</v>
      </c>
      <c r="I29" s="68">
        <f t="shared" si="0"/>
        <v>59.9</v>
      </c>
      <c r="J29" s="48" t="s">
        <v>758</v>
      </c>
      <c r="K29" s="48" t="s">
        <v>21</v>
      </c>
      <c r="L29" s="48" t="s">
        <v>758</v>
      </c>
      <c r="M29" s="48" t="s">
        <v>758</v>
      </c>
      <c r="N29" s="71" t="s">
        <v>2304</v>
      </c>
    </row>
    <row r="30" spans="1:14" ht="48.75">
      <c r="A30" s="50">
        <v>29</v>
      </c>
      <c r="B30" s="60" t="s">
        <v>787</v>
      </c>
      <c r="C30" s="48" t="s">
        <v>34</v>
      </c>
      <c r="D30" s="48" t="s">
        <v>755</v>
      </c>
      <c r="E30" s="47">
        <v>2</v>
      </c>
      <c r="F30" s="46" t="s">
        <v>756</v>
      </c>
      <c r="G30" s="48" t="s">
        <v>757</v>
      </c>
      <c r="H30" s="54">
        <v>44.17</v>
      </c>
      <c r="I30" s="68">
        <f t="shared" si="0"/>
        <v>88.34</v>
      </c>
      <c r="J30" s="48" t="s">
        <v>758</v>
      </c>
      <c r="K30" s="48" t="s">
        <v>21</v>
      </c>
      <c r="L30" s="48" t="s">
        <v>758</v>
      </c>
      <c r="M30" s="48" t="s">
        <v>758</v>
      </c>
      <c r="N30" s="71" t="s">
        <v>2304</v>
      </c>
    </row>
    <row r="31" spans="1:14" ht="48.75">
      <c r="A31" s="50">
        <v>30</v>
      </c>
      <c r="B31" s="60" t="s">
        <v>788</v>
      </c>
      <c r="C31" s="48" t="s">
        <v>34</v>
      </c>
      <c r="D31" s="48" t="s">
        <v>755</v>
      </c>
      <c r="E31" s="47">
        <v>2</v>
      </c>
      <c r="F31" s="46" t="s">
        <v>756</v>
      </c>
      <c r="G31" s="51" t="s">
        <v>757</v>
      </c>
      <c r="H31" s="54">
        <v>25</v>
      </c>
      <c r="I31" s="68">
        <f t="shared" si="0"/>
        <v>50</v>
      </c>
      <c r="J31" s="48" t="s">
        <v>758</v>
      </c>
      <c r="K31" s="48" t="s">
        <v>21</v>
      </c>
      <c r="L31" s="48" t="s">
        <v>758</v>
      </c>
      <c r="M31" s="48" t="s">
        <v>758</v>
      </c>
      <c r="N31" s="71" t="s">
        <v>2304</v>
      </c>
    </row>
    <row r="32" spans="1:14" ht="48.75">
      <c r="A32" s="50">
        <v>31</v>
      </c>
      <c r="B32" s="60" t="s">
        <v>789</v>
      </c>
      <c r="C32" s="48" t="s">
        <v>34</v>
      </c>
      <c r="D32" s="48" t="s">
        <v>755</v>
      </c>
      <c r="E32" s="47">
        <v>4</v>
      </c>
      <c r="F32" s="46" t="s">
        <v>756</v>
      </c>
      <c r="G32" s="48" t="s">
        <v>757</v>
      </c>
      <c r="H32" s="54">
        <v>21.3</v>
      </c>
      <c r="I32" s="68">
        <f t="shared" si="0"/>
        <v>85.2</v>
      </c>
      <c r="J32" s="48" t="s">
        <v>758</v>
      </c>
      <c r="K32" s="48" t="s">
        <v>21</v>
      </c>
      <c r="L32" s="48" t="s">
        <v>758</v>
      </c>
      <c r="M32" s="48" t="s">
        <v>758</v>
      </c>
      <c r="N32" s="71" t="s">
        <v>2304</v>
      </c>
    </row>
    <row r="33" spans="1:14" ht="48.75">
      <c r="A33" s="50">
        <v>32</v>
      </c>
      <c r="B33" s="56" t="s">
        <v>790</v>
      </c>
      <c r="C33" s="48" t="s">
        <v>34</v>
      </c>
      <c r="D33" s="48" t="s">
        <v>755</v>
      </c>
      <c r="E33" s="47">
        <v>1</v>
      </c>
      <c r="F33" s="46" t="s">
        <v>756</v>
      </c>
      <c r="G33" s="48" t="s">
        <v>757</v>
      </c>
      <c r="H33" s="54">
        <v>113.13</v>
      </c>
      <c r="I33" s="68">
        <f t="shared" si="0"/>
        <v>113.13</v>
      </c>
      <c r="J33" s="48" t="s">
        <v>758</v>
      </c>
      <c r="K33" s="48" t="s">
        <v>21</v>
      </c>
      <c r="L33" s="48" t="s">
        <v>758</v>
      </c>
      <c r="M33" s="48" t="s">
        <v>758</v>
      </c>
      <c r="N33" s="71" t="s">
        <v>2304</v>
      </c>
    </row>
    <row r="34" spans="1:14" ht="48.75">
      <c r="A34" s="50">
        <v>33</v>
      </c>
      <c r="B34" s="60" t="s">
        <v>791</v>
      </c>
      <c r="C34" s="48" t="s">
        <v>34</v>
      </c>
      <c r="D34" s="48" t="s">
        <v>755</v>
      </c>
      <c r="E34" s="47">
        <v>10</v>
      </c>
      <c r="F34" s="46" t="s">
        <v>756</v>
      </c>
      <c r="G34" s="48" t="s">
        <v>757</v>
      </c>
      <c r="H34" s="54">
        <v>0.2</v>
      </c>
      <c r="I34" s="68">
        <f t="shared" si="0"/>
        <v>2</v>
      </c>
      <c r="J34" s="48" t="s">
        <v>758</v>
      </c>
      <c r="K34" s="48" t="s">
        <v>21</v>
      </c>
      <c r="L34" s="48" t="s">
        <v>758</v>
      </c>
      <c r="M34" s="48" t="s">
        <v>758</v>
      </c>
      <c r="N34" s="71" t="s">
        <v>2304</v>
      </c>
    </row>
    <row r="35" spans="1:14" ht="48.75">
      <c r="A35" s="50">
        <v>34</v>
      </c>
      <c r="B35" s="60" t="s">
        <v>792</v>
      </c>
      <c r="C35" s="48" t="s">
        <v>34</v>
      </c>
      <c r="D35" s="48" t="s">
        <v>755</v>
      </c>
      <c r="E35" s="47">
        <v>2</v>
      </c>
      <c r="F35" s="46" t="s">
        <v>756</v>
      </c>
      <c r="G35" s="48" t="s">
        <v>757</v>
      </c>
      <c r="H35" s="54">
        <v>18.739999999999998</v>
      </c>
      <c r="I35" s="68">
        <f t="shared" si="0"/>
        <v>37.479999999999997</v>
      </c>
      <c r="J35" s="48" t="s">
        <v>758</v>
      </c>
      <c r="K35" s="48" t="s">
        <v>21</v>
      </c>
      <c r="L35" s="48" t="s">
        <v>758</v>
      </c>
      <c r="M35" s="48" t="s">
        <v>758</v>
      </c>
      <c r="N35" s="71" t="s">
        <v>2304</v>
      </c>
    </row>
    <row r="36" spans="1:14" ht="48.75">
      <c r="A36" s="50">
        <v>35</v>
      </c>
      <c r="B36" s="60" t="s">
        <v>793</v>
      </c>
      <c r="C36" s="48" t="s">
        <v>34</v>
      </c>
      <c r="D36" s="48" t="s">
        <v>755</v>
      </c>
      <c r="E36" s="47">
        <v>10</v>
      </c>
      <c r="F36" s="47" t="s">
        <v>794</v>
      </c>
      <c r="G36" s="48" t="s">
        <v>757</v>
      </c>
      <c r="H36" s="54">
        <v>14.89</v>
      </c>
      <c r="I36" s="68">
        <f t="shared" si="0"/>
        <v>148.9</v>
      </c>
      <c r="J36" s="48" t="s">
        <v>758</v>
      </c>
      <c r="K36" s="48" t="s">
        <v>21</v>
      </c>
      <c r="L36" s="48" t="s">
        <v>758</v>
      </c>
      <c r="M36" s="48" t="s">
        <v>758</v>
      </c>
      <c r="N36" s="71" t="s">
        <v>2304</v>
      </c>
    </row>
    <row r="37" spans="1:14" ht="48.75">
      <c r="A37" s="50">
        <v>36</v>
      </c>
      <c r="B37" s="60" t="s">
        <v>795</v>
      </c>
      <c r="C37" s="48" t="s">
        <v>34</v>
      </c>
      <c r="D37" s="48" t="s">
        <v>755</v>
      </c>
      <c r="E37" s="47">
        <v>6</v>
      </c>
      <c r="F37" s="47" t="s">
        <v>756</v>
      </c>
      <c r="G37" s="48" t="s">
        <v>757</v>
      </c>
      <c r="H37" s="54">
        <v>3.6</v>
      </c>
      <c r="I37" s="68">
        <f t="shared" si="0"/>
        <v>21.6</v>
      </c>
      <c r="J37" s="48" t="s">
        <v>758</v>
      </c>
      <c r="K37" s="48" t="s">
        <v>21</v>
      </c>
      <c r="L37" s="48" t="s">
        <v>758</v>
      </c>
      <c r="M37" s="48" t="s">
        <v>758</v>
      </c>
      <c r="N37" s="71" t="s">
        <v>2304</v>
      </c>
    </row>
    <row r="38" spans="1:14" ht="48.75">
      <c r="A38" s="50">
        <v>37</v>
      </c>
      <c r="B38" s="60" t="s">
        <v>796</v>
      </c>
      <c r="C38" s="48" t="s">
        <v>797</v>
      </c>
      <c r="D38" s="48" t="s">
        <v>755</v>
      </c>
      <c r="E38" s="47">
        <v>50</v>
      </c>
      <c r="F38" s="47" t="s">
        <v>756</v>
      </c>
      <c r="G38" s="48" t="s">
        <v>757</v>
      </c>
      <c r="H38" s="54">
        <v>10</v>
      </c>
      <c r="I38" s="68">
        <f t="shared" si="0"/>
        <v>500</v>
      </c>
      <c r="J38" s="48" t="s">
        <v>758</v>
      </c>
      <c r="K38" s="48" t="s">
        <v>21</v>
      </c>
      <c r="L38" s="48" t="s">
        <v>758</v>
      </c>
      <c r="M38" s="48" t="s">
        <v>758</v>
      </c>
      <c r="N38" s="71" t="s">
        <v>2304</v>
      </c>
    </row>
    <row r="39" spans="1:14" ht="48.75">
      <c r="A39" s="50">
        <v>39</v>
      </c>
      <c r="B39" s="56" t="s">
        <v>798</v>
      </c>
      <c r="C39" s="48" t="s">
        <v>34</v>
      </c>
      <c r="D39" s="48" t="s">
        <v>168</v>
      </c>
      <c r="E39" s="48">
        <v>1</v>
      </c>
      <c r="F39" s="48" t="s">
        <v>756</v>
      </c>
      <c r="G39" s="48" t="s">
        <v>757</v>
      </c>
      <c r="H39" s="64">
        <v>100</v>
      </c>
      <c r="I39" s="66">
        <f t="shared" si="0"/>
        <v>100</v>
      </c>
      <c r="J39" s="48" t="s">
        <v>20</v>
      </c>
      <c r="K39" s="48" t="s">
        <v>21</v>
      </c>
      <c r="L39" s="48" t="s">
        <v>758</v>
      </c>
      <c r="M39" s="48" t="s">
        <v>758</v>
      </c>
      <c r="N39" s="71" t="s">
        <v>2304</v>
      </c>
    </row>
    <row r="40" spans="1:14" ht="48.75">
      <c r="A40" s="50">
        <v>40</v>
      </c>
      <c r="B40" s="60" t="s">
        <v>799</v>
      </c>
      <c r="C40" s="48" t="s">
        <v>172</v>
      </c>
      <c r="D40" s="48" t="s">
        <v>168</v>
      </c>
      <c r="E40" s="48">
        <v>3</v>
      </c>
      <c r="F40" s="48" t="s">
        <v>756</v>
      </c>
      <c r="G40" s="48" t="s">
        <v>757</v>
      </c>
      <c r="H40" s="65">
        <v>369</v>
      </c>
      <c r="I40" s="66">
        <f t="shared" si="0"/>
        <v>1107</v>
      </c>
      <c r="J40" s="48" t="s">
        <v>20</v>
      </c>
      <c r="K40" s="48" t="s">
        <v>21</v>
      </c>
      <c r="L40" s="48" t="s">
        <v>758</v>
      </c>
      <c r="M40" s="48" t="s">
        <v>758</v>
      </c>
      <c r="N40" s="71" t="s">
        <v>2304</v>
      </c>
    </row>
    <row r="41" spans="1:14" ht="48.75">
      <c r="A41" s="50">
        <v>41</v>
      </c>
      <c r="B41" s="56" t="s">
        <v>800</v>
      </c>
      <c r="C41" s="48" t="s">
        <v>801</v>
      </c>
      <c r="D41" s="48" t="s">
        <v>168</v>
      </c>
      <c r="E41" s="48">
        <v>3</v>
      </c>
      <c r="F41" s="48" t="s">
        <v>756</v>
      </c>
      <c r="G41" s="48" t="s">
        <v>802</v>
      </c>
      <c r="H41" s="64">
        <v>299</v>
      </c>
      <c r="I41" s="66">
        <f t="shared" si="0"/>
        <v>897</v>
      </c>
      <c r="J41" s="48" t="s">
        <v>20</v>
      </c>
      <c r="K41" s="48" t="s">
        <v>21</v>
      </c>
      <c r="L41" s="48" t="s">
        <v>758</v>
      </c>
      <c r="M41" s="48" t="s">
        <v>758</v>
      </c>
      <c r="N41" s="71" t="s">
        <v>2304</v>
      </c>
    </row>
    <row r="42" spans="1:14" ht="48.75">
      <c r="A42" s="50">
        <v>43</v>
      </c>
      <c r="B42" s="56" t="s">
        <v>803</v>
      </c>
      <c r="C42" s="48" t="s">
        <v>34</v>
      </c>
      <c r="D42" s="48" t="s">
        <v>168</v>
      </c>
      <c r="E42" s="48">
        <v>1</v>
      </c>
      <c r="F42" s="48" t="s">
        <v>756</v>
      </c>
      <c r="G42" s="48" t="s">
        <v>757</v>
      </c>
      <c r="H42" s="68">
        <v>60</v>
      </c>
      <c r="I42" s="68">
        <f t="shared" si="0"/>
        <v>60</v>
      </c>
      <c r="J42" s="48" t="s">
        <v>758</v>
      </c>
      <c r="K42" s="48" t="s">
        <v>21</v>
      </c>
      <c r="L42" s="48" t="s">
        <v>758</v>
      </c>
      <c r="M42" s="48" t="s">
        <v>758</v>
      </c>
      <c r="N42" s="71" t="s">
        <v>2304</v>
      </c>
    </row>
    <row r="43" spans="1:14" ht="48.75">
      <c r="A43" s="50">
        <v>44</v>
      </c>
      <c r="B43" s="56" t="s">
        <v>804</v>
      </c>
      <c r="C43" s="48" t="s">
        <v>34</v>
      </c>
      <c r="D43" s="48" t="s">
        <v>805</v>
      </c>
      <c r="E43" s="48">
        <v>1</v>
      </c>
      <c r="F43" s="48" t="s">
        <v>756</v>
      </c>
      <c r="G43" s="48" t="s">
        <v>757</v>
      </c>
      <c r="H43" s="68">
        <v>350</v>
      </c>
      <c r="I43" s="68">
        <f t="shared" si="0"/>
        <v>350</v>
      </c>
      <c r="J43" s="48" t="s">
        <v>758</v>
      </c>
      <c r="K43" s="48" t="s">
        <v>21</v>
      </c>
      <c r="L43" s="48" t="s">
        <v>758</v>
      </c>
      <c r="M43" s="48" t="s">
        <v>758</v>
      </c>
      <c r="N43" s="71" t="s">
        <v>2304</v>
      </c>
    </row>
    <row r="44" spans="1:14" ht="48.75">
      <c r="A44" s="50">
        <v>45</v>
      </c>
      <c r="B44" s="60" t="s">
        <v>806</v>
      </c>
      <c r="C44" s="48" t="s">
        <v>34</v>
      </c>
      <c r="D44" s="48" t="s">
        <v>168</v>
      </c>
      <c r="E44" s="48">
        <v>1</v>
      </c>
      <c r="F44" s="48" t="s">
        <v>756</v>
      </c>
      <c r="G44" s="48" t="s">
        <v>757</v>
      </c>
      <c r="H44" s="68">
        <v>6500</v>
      </c>
      <c r="I44" s="68">
        <f t="shared" si="0"/>
        <v>6500</v>
      </c>
      <c r="J44" s="48" t="s">
        <v>758</v>
      </c>
      <c r="K44" s="48" t="s">
        <v>21</v>
      </c>
      <c r="L44" s="48" t="s">
        <v>758</v>
      </c>
      <c r="M44" s="48" t="s">
        <v>758</v>
      </c>
      <c r="N44" s="71" t="s">
        <v>2304</v>
      </c>
    </row>
    <row r="45" spans="1:14" ht="48.75">
      <c r="A45" s="50">
        <v>46</v>
      </c>
      <c r="B45" s="60" t="s">
        <v>807</v>
      </c>
      <c r="C45" s="48" t="s">
        <v>34</v>
      </c>
      <c r="D45" s="48" t="s">
        <v>168</v>
      </c>
      <c r="E45" s="48">
        <v>1</v>
      </c>
      <c r="F45" s="48" t="s">
        <v>756</v>
      </c>
      <c r="G45" s="48" t="s">
        <v>757</v>
      </c>
      <c r="H45" s="62">
        <v>2399</v>
      </c>
      <c r="I45" s="68">
        <f t="shared" si="0"/>
        <v>2399</v>
      </c>
      <c r="J45" s="48" t="s">
        <v>758</v>
      </c>
      <c r="K45" s="48" t="s">
        <v>21</v>
      </c>
      <c r="L45" s="48" t="s">
        <v>758</v>
      </c>
      <c r="M45" s="48" t="s">
        <v>758</v>
      </c>
      <c r="N45" s="71" t="s">
        <v>2304</v>
      </c>
    </row>
    <row r="46" spans="1:14" ht="48.75">
      <c r="A46" s="50">
        <v>47</v>
      </c>
      <c r="B46" s="55" t="s">
        <v>808</v>
      </c>
      <c r="C46" s="48" t="s">
        <v>34</v>
      </c>
      <c r="D46" s="48" t="s">
        <v>168</v>
      </c>
      <c r="E46" s="48">
        <v>1</v>
      </c>
      <c r="F46" s="48" t="s">
        <v>756</v>
      </c>
      <c r="G46" s="48" t="s">
        <v>757</v>
      </c>
      <c r="H46" s="68">
        <v>289.89999999999998</v>
      </c>
      <c r="I46" s="68">
        <f t="shared" si="0"/>
        <v>289.89999999999998</v>
      </c>
      <c r="J46" s="48" t="s">
        <v>758</v>
      </c>
      <c r="K46" s="48" t="s">
        <v>21</v>
      </c>
      <c r="L46" s="48" t="s">
        <v>758</v>
      </c>
      <c r="M46" s="48" t="s">
        <v>758</v>
      </c>
      <c r="N46" s="71" t="s">
        <v>2304</v>
      </c>
    </row>
    <row r="47" spans="1:14" ht="48.75">
      <c r="A47" s="50">
        <v>48</v>
      </c>
      <c r="B47" s="63" t="s">
        <v>809</v>
      </c>
      <c r="C47" s="48" t="s">
        <v>34</v>
      </c>
      <c r="D47" s="48" t="s">
        <v>168</v>
      </c>
      <c r="E47" s="52">
        <v>1</v>
      </c>
      <c r="F47" s="48" t="s">
        <v>756</v>
      </c>
      <c r="G47" s="48" t="s">
        <v>757</v>
      </c>
      <c r="H47" s="68">
        <v>50</v>
      </c>
      <c r="I47" s="68">
        <f t="shared" si="0"/>
        <v>50</v>
      </c>
      <c r="J47" s="48" t="s">
        <v>758</v>
      </c>
      <c r="K47" s="48" t="s">
        <v>21</v>
      </c>
      <c r="L47" s="48" t="s">
        <v>758</v>
      </c>
      <c r="M47" s="48" t="s">
        <v>758</v>
      </c>
      <c r="N47" s="71" t="s">
        <v>2304</v>
      </c>
    </row>
    <row r="48" spans="1:14" ht="48.75">
      <c r="A48" s="50">
        <v>52</v>
      </c>
      <c r="B48" s="56" t="s">
        <v>810</v>
      </c>
      <c r="C48" s="48" t="s">
        <v>801</v>
      </c>
      <c r="D48" s="48" t="s">
        <v>811</v>
      </c>
      <c r="E48" s="48">
        <v>576</v>
      </c>
      <c r="F48" s="48" t="s">
        <v>756</v>
      </c>
      <c r="G48" s="48" t="s">
        <v>757</v>
      </c>
      <c r="H48" s="54">
        <v>1.5</v>
      </c>
      <c r="I48" s="69">
        <f>E48*H48</f>
        <v>864</v>
      </c>
      <c r="J48" s="48" t="s">
        <v>20</v>
      </c>
      <c r="K48" s="48" t="s">
        <v>331</v>
      </c>
      <c r="L48" s="48" t="s">
        <v>758</v>
      </c>
      <c r="M48" s="48" t="s">
        <v>758</v>
      </c>
      <c r="N48" s="71" t="s">
        <v>2304</v>
      </c>
    </row>
    <row r="49" spans="1:14" ht="48.75">
      <c r="A49" s="50">
        <v>53</v>
      </c>
      <c r="B49" s="56" t="s">
        <v>812</v>
      </c>
      <c r="C49" s="48" t="s">
        <v>801</v>
      </c>
      <c r="D49" s="48" t="s">
        <v>811</v>
      </c>
      <c r="E49" s="48">
        <v>60</v>
      </c>
      <c r="F49" s="48" t="s">
        <v>813</v>
      </c>
      <c r="G49" s="48" t="s">
        <v>757</v>
      </c>
      <c r="H49" s="54">
        <v>12</v>
      </c>
      <c r="I49" s="69">
        <f>E49*H49</f>
        <v>720</v>
      </c>
      <c r="J49" s="48" t="s">
        <v>20</v>
      </c>
      <c r="K49" s="48" t="s">
        <v>331</v>
      </c>
      <c r="L49" s="48" t="s">
        <v>758</v>
      </c>
      <c r="M49" s="48" t="s">
        <v>758</v>
      </c>
      <c r="N49" s="71" t="s">
        <v>2304</v>
      </c>
    </row>
  </sheetData>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212A4-0153-4FCA-92C2-28CE6F65E486}">
  <dimension ref="A1:N54"/>
  <sheetViews>
    <sheetView workbookViewId="0">
      <selection activeCell="I6" sqref="I6"/>
    </sheetView>
  </sheetViews>
  <sheetFormatPr defaultRowHeight="15"/>
  <cols>
    <col min="2" max="2" width="40.42578125" bestFit="1" customWidth="1"/>
  </cols>
  <sheetData>
    <row r="1" spans="1:14" ht="46.5">
      <c r="A1" s="49" t="s">
        <v>0</v>
      </c>
      <c r="B1" s="49" t="s">
        <v>409</v>
      </c>
      <c r="C1" s="49" t="s">
        <v>410</v>
      </c>
      <c r="D1" s="49" t="s">
        <v>1</v>
      </c>
      <c r="E1" s="49" t="s">
        <v>582</v>
      </c>
      <c r="F1" s="49" t="s">
        <v>8</v>
      </c>
      <c r="G1" s="49" t="s">
        <v>412</v>
      </c>
      <c r="H1" s="49" t="s">
        <v>753</v>
      </c>
      <c r="I1" s="67" t="s">
        <v>3</v>
      </c>
      <c r="J1" s="59" t="s">
        <v>4</v>
      </c>
      <c r="K1" s="59" t="s">
        <v>5</v>
      </c>
      <c r="L1" s="59" t="s">
        <v>413</v>
      </c>
      <c r="M1" s="59" t="s">
        <v>7</v>
      </c>
      <c r="N1" s="59" t="s">
        <v>12</v>
      </c>
    </row>
    <row r="2" spans="1:14" ht="36.75">
      <c r="A2" s="50">
        <v>1</v>
      </c>
      <c r="B2" s="56" t="s">
        <v>754</v>
      </c>
      <c r="C2" s="48" t="s">
        <v>34</v>
      </c>
      <c r="D2" s="48" t="s">
        <v>755</v>
      </c>
      <c r="E2" s="48">
        <v>12</v>
      </c>
      <c r="F2" s="48" t="s">
        <v>756</v>
      </c>
      <c r="G2" s="48" t="s">
        <v>757</v>
      </c>
      <c r="H2" s="54">
        <v>1.2</v>
      </c>
      <c r="I2" s="68">
        <v>14.399999999999999</v>
      </c>
      <c r="J2" s="48" t="s">
        <v>758</v>
      </c>
      <c r="K2" s="48" t="s">
        <v>21</v>
      </c>
      <c r="L2" s="48" t="s">
        <v>758</v>
      </c>
      <c r="M2" s="48" t="s">
        <v>758</v>
      </c>
      <c r="N2" s="71" t="s">
        <v>2305</v>
      </c>
    </row>
    <row r="3" spans="1:14" ht="36.75">
      <c r="A3" s="50">
        <v>2</v>
      </c>
      <c r="B3" s="56" t="s">
        <v>760</v>
      </c>
      <c r="C3" s="48" t="s">
        <v>34</v>
      </c>
      <c r="D3" s="48" t="s">
        <v>755</v>
      </c>
      <c r="E3" s="52">
        <v>12</v>
      </c>
      <c r="F3" s="48" t="s">
        <v>756</v>
      </c>
      <c r="G3" s="48" t="s">
        <v>757</v>
      </c>
      <c r="H3" s="54">
        <v>1.2</v>
      </c>
      <c r="I3" s="68">
        <v>14.399999999999999</v>
      </c>
      <c r="J3" s="48" t="s">
        <v>758</v>
      </c>
      <c r="K3" s="48" t="s">
        <v>21</v>
      </c>
      <c r="L3" s="48" t="s">
        <v>758</v>
      </c>
      <c r="M3" s="48" t="s">
        <v>758</v>
      </c>
      <c r="N3" s="71" t="s">
        <v>2305</v>
      </c>
    </row>
    <row r="4" spans="1:14" ht="36.75">
      <c r="A4" s="50">
        <v>3</v>
      </c>
      <c r="B4" s="56" t="s">
        <v>761</v>
      </c>
      <c r="C4" s="48" t="s">
        <v>34</v>
      </c>
      <c r="D4" s="48" t="s">
        <v>755</v>
      </c>
      <c r="E4" s="48">
        <v>6</v>
      </c>
      <c r="F4" s="48" t="s">
        <v>756</v>
      </c>
      <c r="G4" s="48" t="s">
        <v>757</v>
      </c>
      <c r="H4" s="54">
        <v>1.2</v>
      </c>
      <c r="I4" s="68">
        <v>7.1999999999999993</v>
      </c>
      <c r="J4" s="48" t="s">
        <v>758</v>
      </c>
      <c r="K4" s="48" t="s">
        <v>21</v>
      </c>
      <c r="L4" s="48" t="s">
        <v>758</v>
      </c>
      <c r="M4" s="48" t="s">
        <v>758</v>
      </c>
      <c r="N4" s="71" t="s">
        <v>2305</v>
      </c>
    </row>
    <row r="5" spans="1:14" ht="36.75">
      <c r="A5" s="50">
        <v>4</v>
      </c>
      <c r="B5" s="56" t="s">
        <v>762</v>
      </c>
      <c r="C5" s="48" t="s">
        <v>34</v>
      </c>
      <c r="D5" s="48" t="s">
        <v>755</v>
      </c>
      <c r="E5" s="48">
        <v>6</v>
      </c>
      <c r="F5" s="48" t="s">
        <v>756</v>
      </c>
      <c r="G5" s="48" t="s">
        <v>757</v>
      </c>
      <c r="H5" s="54">
        <v>1.8</v>
      </c>
      <c r="I5" s="68">
        <v>10.8</v>
      </c>
      <c r="J5" s="48" t="s">
        <v>758</v>
      </c>
      <c r="K5" s="48" t="s">
        <v>21</v>
      </c>
      <c r="L5" s="48" t="s">
        <v>758</v>
      </c>
      <c r="M5" s="48" t="s">
        <v>758</v>
      </c>
      <c r="N5" s="71" t="s">
        <v>2305</v>
      </c>
    </row>
    <row r="6" spans="1:14" ht="36.75">
      <c r="A6" s="50">
        <v>5</v>
      </c>
      <c r="B6" s="56" t="s">
        <v>763</v>
      </c>
      <c r="C6" s="48" t="s">
        <v>34</v>
      </c>
      <c r="D6" s="48" t="s">
        <v>755</v>
      </c>
      <c r="E6" s="48">
        <v>6</v>
      </c>
      <c r="F6" s="48" t="s">
        <v>756</v>
      </c>
      <c r="G6" s="48" t="s">
        <v>757</v>
      </c>
      <c r="H6" s="54">
        <v>1.8</v>
      </c>
      <c r="I6" s="68">
        <v>10.8</v>
      </c>
      <c r="J6" s="48" t="s">
        <v>758</v>
      </c>
      <c r="K6" s="48" t="s">
        <v>21</v>
      </c>
      <c r="L6" s="48" t="s">
        <v>758</v>
      </c>
      <c r="M6" s="48" t="s">
        <v>758</v>
      </c>
      <c r="N6" s="71" t="s">
        <v>2305</v>
      </c>
    </row>
    <row r="7" spans="1:14" ht="36.75">
      <c r="A7" s="50">
        <v>6</v>
      </c>
      <c r="B7" s="56" t="s">
        <v>764</v>
      </c>
      <c r="C7" s="48" t="s">
        <v>34</v>
      </c>
      <c r="D7" s="48" t="s">
        <v>755</v>
      </c>
      <c r="E7" s="48">
        <v>6</v>
      </c>
      <c r="F7" s="48" t="s">
        <v>765</v>
      </c>
      <c r="G7" s="48" t="s">
        <v>757</v>
      </c>
      <c r="H7" s="54">
        <v>1.8</v>
      </c>
      <c r="I7" s="68">
        <v>10.8</v>
      </c>
      <c r="J7" s="48" t="s">
        <v>758</v>
      </c>
      <c r="K7" s="48" t="s">
        <v>21</v>
      </c>
      <c r="L7" s="48" t="s">
        <v>758</v>
      </c>
      <c r="M7" s="48" t="s">
        <v>758</v>
      </c>
      <c r="N7" s="71" t="s">
        <v>2305</v>
      </c>
    </row>
    <row r="8" spans="1:14" ht="36.75">
      <c r="A8" s="50">
        <v>7</v>
      </c>
      <c r="B8" s="57" t="s">
        <v>766</v>
      </c>
      <c r="C8" s="48" t="s">
        <v>34</v>
      </c>
      <c r="D8" s="48" t="s">
        <v>755</v>
      </c>
      <c r="E8" s="48">
        <v>6</v>
      </c>
      <c r="F8" s="48" t="s">
        <v>756</v>
      </c>
      <c r="G8" s="48" t="s">
        <v>757</v>
      </c>
      <c r="H8" s="54">
        <v>1.9</v>
      </c>
      <c r="I8" s="68">
        <v>11.399999999999999</v>
      </c>
      <c r="J8" s="48" t="s">
        <v>758</v>
      </c>
      <c r="K8" s="48" t="s">
        <v>21</v>
      </c>
      <c r="L8" s="48" t="s">
        <v>758</v>
      </c>
      <c r="M8" s="48" t="s">
        <v>758</v>
      </c>
      <c r="N8" s="71" t="s">
        <v>2305</v>
      </c>
    </row>
    <row r="9" spans="1:14" ht="36.75">
      <c r="A9" s="50">
        <v>8</v>
      </c>
      <c r="B9" s="57" t="s">
        <v>767</v>
      </c>
      <c r="C9" s="48" t="s">
        <v>34</v>
      </c>
      <c r="D9" s="48" t="s">
        <v>755</v>
      </c>
      <c r="E9" s="48">
        <v>6</v>
      </c>
      <c r="F9" s="48" t="s">
        <v>756</v>
      </c>
      <c r="G9" s="48" t="s">
        <v>757</v>
      </c>
      <c r="H9" s="54">
        <v>1.9</v>
      </c>
      <c r="I9" s="68">
        <v>11.399999999999999</v>
      </c>
      <c r="J9" s="48" t="s">
        <v>758</v>
      </c>
      <c r="K9" s="48" t="s">
        <v>21</v>
      </c>
      <c r="L9" s="48" t="s">
        <v>758</v>
      </c>
      <c r="M9" s="48" t="s">
        <v>758</v>
      </c>
      <c r="N9" s="71" t="s">
        <v>2305</v>
      </c>
    </row>
    <row r="10" spans="1:14" ht="36.75">
      <c r="A10" s="50">
        <v>9</v>
      </c>
      <c r="B10" s="57" t="s">
        <v>768</v>
      </c>
      <c r="C10" s="48" t="s">
        <v>34</v>
      </c>
      <c r="D10" s="48" t="s">
        <v>755</v>
      </c>
      <c r="E10" s="48">
        <v>6</v>
      </c>
      <c r="F10" s="48" t="s">
        <v>756</v>
      </c>
      <c r="G10" s="48" t="s">
        <v>757</v>
      </c>
      <c r="H10" s="54">
        <v>1.9</v>
      </c>
      <c r="I10" s="68">
        <v>11.399999999999999</v>
      </c>
      <c r="J10" s="48" t="s">
        <v>758</v>
      </c>
      <c r="K10" s="48" t="s">
        <v>21</v>
      </c>
      <c r="L10" s="48" t="s">
        <v>758</v>
      </c>
      <c r="M10" s="48" t="s">
        <v>758</v>
      </c>
      <c r="N10" s="71" t="s">
        <v>2305</v>
      </c>
    </row>
    <row r="11" spans="1:14" ht="36.75">
      <c r="A11" s="50">
        <v>10</v>
      </c>
      <c r="B11" s="56" t="s">
        <v>769</v>
      </c>
      <c r="C11" s="48" t="s">
        <v>34</v>
      </c>
      <c r="D11" s="48" t="s">
        <v>755</v>
      </c>
      <c r="E11" s="48">
        <v>12</v>
      </c>
      <c r="F11" s="48" t="s">
        <v>756</v>
      </c>
      <c r="G11" s="48" t="s">
        <v>757</v>
      </c>
      <c r="H11" s="54">
        <v>1</v>
      </c>
      <c r="I11" s="68">
        <v>12</v>
      </c>
      <c r="J11" s="48" t="s">
        <v>758</v>
      </c>
      <c r="K11" s="48" t="s">
        <v>21</v>
      </c>
      <c r="L11" s="48" t="s">
        <v>758</v>
      </c>
      <c r="M11" s="48" t="s">
        <v>758</v>
      </c>
      <c r="N11" s="71" t="s">
        <v>2305</v>
      </c>
    </row>
    <row r="12" spans="1:14" ht="36.75">
      <c r="A12" s="50">
        <v>10</v>
      </c>
      <c r="B12" s="56" t="s">
        <v>770</v>
      </c>
      <c r="C12" s="48" t="s">
        <v>34</v>
      </c>
      <c r="D12" s="48" t="s">
        <v>755</v>
      </c>
      <c r="E12" s="48">
        <v>10</v>
      </c>
      <c r="F12" s="48" t="s">
        <v>765</v>
      </c>
      <c r="G12" s="48" t="s">
        <v>757</v>
      </c>
      <c r="H12" s="54">
        <v>32.9</v>
      </c>
      <c r="I12" s="68">
        <v>329</v>
      </c>
      <c r="J12" s="48" t="s">
        <v>758</v>
      </c>
      <c r="K12" s="48" t="s">
        <v>21</v>
      </c>
      <c r="L12" s="48" t="s">
        <v>758</v>
      </c>
      <c r="M12" s="48" t="s">
        <v>758</v>
      </c>
      <c r="N12" s="71" t="s">
        <v>2305</v>
      </c>
    </row>
    <row r="13" spans="1:14" ht="36.75">
      <c r="A13" s="50">
        <v>12</v>
      </c>
      <c r="B13" s="56" t="s">
        <v>771</v>
      </c>
      <c r="C13" s="48" t="s">
        <v>34</v>
      </c>
      <c r="D13" s="48" t="s">
        <v>755</v>
      </c>
      <c r="E13" s="48">
        <v>5</v>
      </c>
      <c r="F13" s="48" t="s">
        <v>681</v>
      </c>
      <c r="G13" s="48" t="s">
        <v>757</v>
      </c>
      <c r="H13" s="54">
        <v>34.9</v>
      </c>
      <c r="I13" s="68">
        <v>174.5</v>
      </c>
      <c r="J13" s="48" t="s">
        <v>758</v>
      </c>
      <c r="K13" s="48" t="s">
        <v>21</v>
      </c>
      <c r="L13" s="48" t="s">
        <v>758</v>
      </c>
      <c r="M13" s="48" t="s">
        <v>758</v>
      </c>
      <c r="N13" s="71" t="s">
        <v>2305</v>
      </c>
    </row>
    <row r="14" spans="1:14" ht="36.75">
      <c r="A14" s="50">
        <v>13</v>
      </c>
      <c r="B14" s="56" t="s">
        <v>772</v>
      </c>
      <c r="C14" s="48" t="s">
        <v>34</v>
      </c>
      <c r="D14" s="48" t="s">
        <v>755</v>
      </c>
      <c r="E14" s="48">
        <v>2</v>
      </c>
      <c r="F14" s="48" t="s">
        <v>681</v>
      </c>
      <c r="G14" s="48" t="s">
        <v>757</v>
      </c>
      <c r="H14" s="54">
        <v>13.5</v>
      </c>
      <c r="I14" s="68">
        <v>27</v>
      </c>
      <c r="J14" s="48" t="s">
        <v>758</v>
      </c>
      <c r="K14" s="48" t="s">
        <v>21</v>
      </c>
      <c r="L14" s="48" t="s">
        <v>758</v>
      </c>
      <c r="M14" s="48" t="s">
        <v>758</v>
      </c>
      <c r="N14" s="71" t="s">
        <v>2305</v>
      </c>
    </row>
    <row r="15" spans="1:14" ht="36.75">
      <c r="A15" s="50">
        <v>14</v>
      </c>
      <c r="B15" s="56" t="s">
        <v>773</v>
      </c>
      <c r="C15" s="51" t="s">
        <v>34</v>
      </c>
      <c r="D15" s="48" t="s">
        <v>755</v>
      </c>
      <c r="E15" s="48">
        <v>2</v>
      </c>
      <c r="F15" s="48" t="s">
        <v>681</v>
      </c>
      <c r="G15" s="48" t="s">
        <v>757</v>
      </c>
      <c r="H15" s="54">
        <v>14.9</v>
      </c>
      <c r="I15" s="68">
        <v>29.8</v>
      </c>
      <c r="J15" s="48" t="s">
        <v>758</v>
      </c>
      <c r="K15" s="48" t="s">
        <v>21</v>
      </c>
      <c r="L15" s="48" t="s">
        <v>758</v>
      </c>
      <c r="M15" s="48" t="s">
        <v>758</v>
      </c>
      <c r="N15" s="71" t="s">
        <v>2305</v>
      </c>
    </row>
    <row r="16" spans="1:14" ht="36.75">
      <c r="A16" s="50">
        <v>15</v>
      </c>
      <c r="B16" s="58" t="s">
        <v>774</v>
      </c>
      <c r="C16" s="51" t="s">
        <v>34</v>
      </c>
      <c r="D16" s="48" t="s">
        <v>755</v>
      </c>
      <c r="E16" s="48">
        <v>2</v>
      </c>
      <c r="F16" s="48" t="s">
        <v>681</v>
      </c>
      <c r="G16" s="51" t="s">
        <v>757</v>
      </c>
      <c r="H16" s="54">
        <v>22.9</v>
      </c>
      <c r="I16" s="68">
        <v>45.8</v>
      </c>
      <c r="J16" s="48" t="s">
        <v>758</v>
      </c>
      <c r="K16" s="48" t="s">
        <v>21</v>
      </c>
      <c r="L16" s="48" t="s">
        <v>758</v>
      </c>
      <c r="M16" s="48" t="s">
        <v>758</v>
      </c>
      <c r="N16" s="71" t="s">
        <v>2305</v>
      </c>
    </row>
    <row r="17" spans="1:14" ht="36.75">
      <c r="A17" s="50">
        <v>16</v>
      </c>
      <c r="B17" s="56" t="s">
        <v>775</v>
      </c>
      <c r="C17" s="48" t="s">
        <v>34</v>
      </c>
      <c r="D17" s="48" t="s">
        <v>755</v>
      </c>
      <c r="E17" s="48">
        <v>6</v>
      </c>
      <c r="F17" s="48" t="s">
        <v>756</v>
      </c>
      <c r="G17" s="48" t="s">
        <v>757</v>
      </c>
      <c r="H17" s="54">
        <v>2.4</v>
      </c>
      <c r="I17" s="68">
        <v>14.399999999999999</v>
      </c>
      <c r="J17" s="48" t="s">
        <v>758</v>
      </c>
      <c r="K17" s="48" t="s">
        <v>21</v>
      </c>
      <c r="L17" s="48" t="s">
        <v>758</v>
      </c>
      <c r="M17" s="48" t="s">
        <v>758</v>
      </c>
      <c r="N17" s="71" t="s">
        <v>2305</v>
      </c>
    </row>
    <row r="18" spans="1:14" ht="36.75">
      <c r="A18" s="50">
        <v>17</v>
      </c>
      <c r="B18" s="56" t="s">
        <v>776</v>
      </c>
      <c r="C18" s="48" t="s">
        <v>34</v>
      </c>
      <c r="D18" s="48" t="s">
        <v>755</v>
      </c>
      <c r="E18" s="48">
        <v>6</v>
      </c>
      <c r="F18" s="51" t="s">
        <v>756</v>
      </c>
      <c r="G18" s="51" t="s">
        <v>757</v>
      </c>
      <c r="H18" s="54">
        <v>5.7</v>
      </c>
      <c r="I18" s="68">
        <v>34.200000000000003</v>
      </c>
      <c r="J18" s="48" t="s">
        <v>758</v>
      </c>
      <c r="K18" s="48" t="s">
        <v>21</v>
      </c>
      <c r="L18" s="48" t="s">
        <v>758</v>
      </c>
      <c r="M18" s="48" t="s">
        <v>758</v>
      </c>
      <c r="N18" s="71" t="s">
        <v>2305</v>
      </c>
    </row>
    <row r="19" spans="1:14" ht="36.75">
      <c r="A19" s="50">
        <v>18</v>
      </c>
      <c r="B19" s="56" t="s">
        <v>777</v>
      </c>
      <c r="C19" s="51" t="s">
        <v>34</v>
      </c>
      <c r="D19" s="48" t="s">
        <v>755</v>
      </c>
      <c r="E19" s="48">
        <v>12</v>
      </c>
      <c r="F19" s="48" t="s">
        <v>756</v>
      </c>
      <c r="G19" s="48" t="s">
        <v>757</v>
      </c>
      <c r="H19" s="54">
        <v>7.9</v>
      </c>
      <c r="I19" s="68">
        <v>94.800000000000011</v>
      </c>
      <c r="J19" s="48" t="s">
        <v>758</v>
      </c>
      <c r="K19" s="48" t="s">
        <v>21</v>
      </c>
      <c r="L19" s="48" t="s">
        <v>758</v>
      </c>
      <c r="M19" s="48" t="s">
        <v>758</v>
      </c>
      <c r="N19" s="71" t="s">
        <v>2305</v>
      </c>
    </row>
    <row r="20" spans="1:14" ht="36.75">
      <c r="A20" s="50">
        <v>19</v>
      </c>
      <c r="B20" s="56" t="s">
        <v>778</v>
      </c>
      <c r="C20" s="48" t="s">
        <v>34</v>
      </c>
      <c r="D20" s="48" t="s">
        <v>755</v>
      </c>
      <c r="E20" s="48">
        <v>12</v>
      </c>
      <c r="F20" s="51" t="s">
        <v>756</v>
      </c>
      <c r="G20" s="51" t="s">
        <v>757</v>
      </c>
      <c r="H20" s="54">
        <v>2.4500000000000002</v>
      </c>
      <c r="I20" s="68">
        <v>29.400000000000002</v>
      </c>
      <c r="J20" s="48" t="s">
        <v>758</v>
      </c>
      <c r="K20" s="48" t="s">
        <v>21</v>
      </c>
      <c r="L20" s="48" t="s">
        <v>758</v>
      </c>
      <c r="M20" s="48" t="s">
        <v>758</v>
      </c>
      <c r="N20" s="71" t="s">
        <v>2305</v>
      </c>
    </row>
    <row r="21" spans="1:14" ht="36.75">
      <c r="A21" s="50">
        <v>20</v>
      </c>
      <c r="B21" s="56" t="s">
        <v>779</v>
      </c>
      <c r="C21" s="51" t="s">
        <v>34</v>
      </c>
      <c r="D21" s="48" t="s">
        <v>755</v>
      </c>
      <c r="E21" s="47">
        <v>20</v>
      </c>
      <c r="F21" s="46" t="s">
        <v>756</v>
      </c>
      <c r="G21" s="48" t="s">
        <v>757</v>
      </c>
      <c r="H21" s="54">
        <v>1</v>
      </c>
      <c r="I21" s="68">
        <v>20</v>
      </c>
      <c r="J21" s="48" t="s">
        <v>758</v>
      </c>
      <c r="K21" s="48" t="s">
        <v>21</v>
      </c>
      <c r="L21" s="48" t="s">
        <v>758</v>
      </c>
      <c r="M21" s="48" t="s">
        <v>758</v>
      </c>
      <c r="N21" s="71" t="s">
        <v>2305</v>
      </c>
    </row>
    <row r="22" spans="1:14" ht="36.75">
      <c r="A22" s="50">
        <v>21</v>
      </c>
      <c r="B22" s="56" t="s">
        <v>779</v>
      </c>
      <c r="C22" s="51" t="s">
        <v>34</v>
      </c>
      <c r="D22" s="48" t="s">
        <v>755</v>
      </c>
      <c r="E22" s="47">
        <v>20</v>
      </c>
      <c r="F22" s="46" t="s">
        <v>756</v>
      </c>
      <c r="G22" s="48" t="s">
        <v>757</v>
      </c>
      <c r="H22" s="54">
        <v>1</v>
      </c>
      <c r="I22" s="68">
        <v>20</v>
      </c>
      <c r="J22" s="48" t="s">
        <v>758</v>
      </c>
      <c r="K22" s="48" t="s">
        <v>21</v>
      </c>
      <c r="L22" s="48" t="s">
        <v>758</v>
      </c>
      <c r="M22" s="48" t="s">
        <v>758</v>
      </c>
      <c r="N22" s="71" t="s">
        <v>2305</v>
      </c>
    </row>
    <row r="23" spans="1:14" ht="36.75">
      <c r="A23" s="50">
        <v>22</v>
      </c>
      <c r="B23" s="60" t="s">
        <v>780</v>
      </c>
      <c r="C23" s="48" t="s">
        <v>34</v>
      </c>
      <c r="D23" s="48" t="s">
        <v>755</v>
      </c>
      <c r="E23" s="47">
        <v>20</v>
      </c>
      <c r="F23" s="46" t="s">
        <v>756</v>
      </c>
      <c r="G23" s="51" t="s">
        <v>757</v>
      </c>
      <c r="H23" s="54">
        <v>1</v>
      </c>
      <c r="I23" s="68">
        <v>20</v>
      </c>
      <c r="J23" s="48" t="s">
        <v>758</v>
      </c>
      <c r="K23" s="48" t="s">
        <v>21</v>
      </c>
      <c r="L23" s="48" t="s">
        <v>758</v>
      </c>
      <c r="M23" s="48" t="s">
        <v>758</v>
      </c>
      <c r="N23" s="71" t="s">
        <v>2305</v>
      </c>
    </row>
    <row r="24" spans="1:14" ht="36.75">
      <c r="A24" s="50">
        <v>23</v>
      </c>
      <c r="B24" s="56" t="s">
        <v>781</v>
      </c>
      <c r="C24" s="48" t="s">
        <v>34</v>
      </c>
      <c r="D24" s="48" t="s">
        <v>755</v>
      </c>
      <c r="E24" s="47">
        <v>6</v>
      </c>
      <c r="F24" s="46" t="s">
        <v>756</v>
      </c>
      <c r="G24" s="48" t="s">
        <v>757</v>
      </c>
      <c r="H24" s="54">
        <v>6.5</v>
      </c>
      <c r="I24" s="68">
        <v>39</v>
      </c>
      <c r="J24" s="48" t="s">
        <v>758</v>
      </c>
      <c r="K24" s="48" t="s">
        <v>21</v>
      </c>
      <c r="L24" s="48" t="s">
        <v>758</v>
      </c>
      <c r="M24" s="48" t="s">
        <v>758</v>
      </c>
      <c r="N24" s="71" t="s">
        <v>2305</v>
      </c>
    </row>
    <row r="25" spans="1:14" ht="36.75">
      <c r="A25" s="50">
        <v>24</v>
      </c>
      <c r="B25" s="56" t="s">
        <v>782</v>
      </c>
      <c r="C25" s="48" t="s">
        <v>34</v>
      </c>
      <c r="D25" s="48" t="s">
        <v>755</v>
      </c>
      <c r="E25" s="47">
        <v>20</v>
      </c>
      <c r="F25" s="46" t="s">
        <v>756</v>
      </c>
      <c r="G25" s="51" t="s">
        <v>757</v>
      </c>
      <c r="H25" s="54">
        <v>5.75</v>
      </c>
      <c r="I25" s="68">
        <v>115</v>
      </c>
      <c r="J25" s="48" t="s">
        <v>758</v>
      </c>
      <c r="K25" s="48" t="s">
        <v>21</v>
      </c>
      <c r="L25" s="48" t="s">
        <v>758</v>
      </c>
      <c r="M25" s="48" t="s">
        <v>758</v>
      </c>
      <c r="N25" s="71" t="s">
        <v>2305</v>
      </c>
    </row>
    <row r="26" spans="1:14" ht="36.75">
      <c r="A26" s="50">
        <v>25</v>
      </c>
      <c r="B26" s="56" t="s">
        <v>783</v>
      </c>
      <c r="C26" s="48" t="s">
        <v>34</v>
      </c>
      <c r="D26" s="48" t="s">
        <v>755</v>
      </c>
      <c r="E26" s="47">
        <v>4</v>
      </c>
      <c r="F26" s="46" t="s">
        <v>756</v>
      </c>
      <c r="G26" s="48" t="s">
        <v>757</v>
      </c>
      <c r="H26" s="54">
        <v>5</v>
      </c>
      <c r="I26" s="68">
        <v>20</v>
      </c>
      <c r="J26" s="48" t="s">
        <v>758</v>
      </c>
      <c r="K26" s="48" t="s">
        <v>21</v>
      </c>
      <c r="L26" s="48" t="s">
        <v>758</v>
      </c>
      <c r="M26" s="48" t="s">
        <v>758</v>
      </c>
      <c r="N26" s="71" t="s">
        <v>2305</v>
      </c>
    </row>
    <row r="27" spans="1:14" ht="36.75">
      <c r="A27" s="50">
        <v>26</v>
      </c>
      <c r="B27" s="56" t="s">
        <v>784</v>
      </c>
      <c r="C27" s="48" t="s">
        <v>34</v>
      </c>
      <c r="D27" s="48" t="s">
        <v>755</v>
      </c>
      <c r="E27" s="47">
        <v>2</v>
      </c>
      <c r="F27" s="46" t="s">
        <v>756</v>
      </c>
      <c r="G27" s="51" t="s">
        <v>757</v>
      </c>
      <c r="H27" s="54">
        <v>19.68</v>
      </c>
      <c r="I27" s="68">
        <v>39.36</v>
      </c>
      <c r="J27" s="48" t="s">
        <v>758</v>
      </c>
      <c r="K27" s="48" t="s">
        <v>21</v>
      </c>
      <c r="L27" s="48" t="s">
        <v>758</v>
      </c>
      <c r="M27" s="48" t="s">
        <v>758</v>
      </c>
      <c r="N27" s="71" t="s">
        <v>2305</v>
      </c>
    </row>
    <row r="28" spans="1:14" ht="36.75">
      <c r="A28" s="50">
        <v>27</v>
      </c>
      <c r="B28" s="56" t="s">
        <v>785</v>
      </c>
      <c r="C28" s="51" t="s">
        <v>34</v>
      </c>
      <c r="D28" s="48" t="s">
        <v>755</v>
      </c>
      <c r="E28" s="47">
        <v>6</v>
      </c>
      <c r="F28" s="46" t="s">
        <v>756</v>
      </c>
      <c r="G28" s="48" t="s">
        <v>757</v>
      </c>
      <c r="H28" s="54">
        <v>9.99</v>
      </c>
      <c r="I28" s="68">
        <v>59.94</v>
      </c>
      <c r="J28" s="48" t="s">
        <v>758</v>
      </c>
      <c r="K28" s="48" t="s">
        <v>21</v>
      </c>
      <c r="L28" s="48" t="s">
        <v>758</v>
      </c>
      <c r="M28" s="48" t="s">
        <v>758</v>
      </c>
      <c r="N28" s="71" t="s">
        <v>2305</v>
      </c>
    </row>
    <row r="29" spans="1:14" ht="36.75">
      <c r="A29" s="50">
        <v>28</v>
      </c>
      <c r="B29" s="56" t="s">
        <v>786</v>
      </c>
      <c r="C29" s="51" t="s">
        <v>34</v>
      </c>
      <c r="D29" s="48" t="s">
        <v>755</v>
      </c>
      <c r="E29" s="47">
        <v>2</v>
      </c>
      <c r="F29" s="46" t="s">
        <v>756</v>
      </c>
      <c r="G29" s="51" t="s">
        <v>757</v>
      </c>
      <c r="H29" s="54">
        <v>29.95</v>
      </c>
      <c r="I29" s="68">
        <v>59.9</v>
      </c>
      <c r="J29" s="48" t="s">
        <v>758</v>
      </c>
      <c r="K29" s="48" t="s">
        <v>21</v>
      </c>
      <c r="L29" s="48" t="s">
        <v>758</v>
      </c>
      <c r="M29" s="48" t="s">
        <v>758</v>
      </c>
      <c r="N29" s="71" t="s">
        <v>2305</v>
      </c>
    </row>
    <row r="30" spans="1:14" ht="36.75">
      <c r="A30" s="50">
        <v>29</v>
      </c>
      <c r="B30" s="60" t="s">
        <v>787</v>
      </c>
      <c r="C30" s="48" t="s">
        <v>34</v>
      </c>
      <c r="D30" s="48" t="s">
        <v>755</v>
      </c>
      <c r="E30" s="47">
        <v>2</v>
      </c>
      <c r="F30" s="46" t="s">
        <v>756</v>
      </c>
      <c r="G30" s="48" t="s">
        <v>757</v>
      </c>
      <c r="H30" s="54">
        <v>44.17</v>
      </c>
      <c r="I30" s="68">
        <v>88.34</v>
      </c>
      <c r="J30" s="48" t="s">
        <v>758</v>
      </c>
      <c r="K30" s="48" t="s">
        <v>21</v>
      </c>
      <c r="L30" s="48" t="s">
        <v>758</v>
      </c>
      <c r="M30" s="48" t="s">
        <v>758</v>
      </c>
      <c r="N30" s="71" t="s">
        <v>2305</v>
      </c>
    </row>
    <row r="31" spans="1:14" ht="36.75">
      <c r="A31" s="50">
        <v>30</v>
      </c>
      <c r="B31" s="60" t="s">
        <v>788</v>
      </c>
      <c r="C31" s="48" t="s">
        <v>34</v>
      </c>
      <c r="D31" s="48" t="s">
        <v>755</v>
      </c>
      <c r="E31" s="47">
        <v>2</v>
      </c>
      <c r="F31" s="46" t="s">
        <v>756</v>
      </c>
      <c r="G31" s="51" t="s">
        <v>757</v>
      </c>
      <c r="H31" s="54">
        <v>25</v>
      </c>
      <c r="I31" s="68">
        <v>50</v>
      </c>
      <c r="J31" s="48" t="s">
        <v>758</v>
      </c>
      <c r="K31" s="48" t="s">
        <v>21</v>
      </c>
      <c r="L31" s="48" t="s">
        <v>758</v>
      </c>
      <c r="M31" s="48" t="s">
        <v>758</v>
      </c>
      <c r="N31" s="71" t="s">
        <v>2305</v>
      </c>
    </row>
    <row r="32" spans="1:14" ht="36.75">
      <c r="A32" s="50">
        <v>31</v>
      </c>
      <c r="B32" s="60" t="s">
        <v>789</v>
      </c>
      <c r="C32" s="48" t="s">
        <v>34</v>
      </c>
      <c r="D32" s="48" t="s">
        <v>755</v>
      </c>
      <c r="E32" s="47">
        <v>4</v>
      </c>
      <c r="F32" s="46" t="s">
        <v>756</v>
      </c>
      <c r="G32" s="48" t="s">
        <v>757</v>
      </c>
      <c r="H32" s="54">
        <v>21.3</v>
      </c>
      <c r="I32" s="68">
        <v>85.2</v>
      </c>
      <c r="J32" s="48" t="s">
        <v>758</v>
      </c>
      <c r="K32" s="48" t="s">
        <v>21</v>
      </c>
      <c r="L32" s="48" t="s">
        <v>758</v>
      </c>
      <c r="M32" s="48" t="s">
        <v>758</v>
      </c>
      <c r="N32" s="71" t="s">
        <v>2305</v>
      </c>
    </row>
    <row r="33" spans="1:14" ht="36.75">
      <c r="A33" s="50">
        <v>32</v>
      </c>
      <c r="B33" s="56" t="s">
        <v>790</v>
      </c>
      <c r="C33" s="48" t="s">
        <v>34</v>
      </c>
      <c r="D33" s="48" t="s">
        <v>755</v>
      </c>
      <c r="E33" s="47">
        <v>1</v>
      </c>
      <c r="F33" s="46" t="s">
        <v>756</v>
      </c>
      <c r="G33" s="48" t="s">
        <v>757</v>
      </c>
      <c r="H33" s="54">
        <v>113.13</v>
      </c>
      <c r="I33" s="68">
        <v>113.13</v>
      </c>
      <c r="J33" s="48" t="s">
        <v>758</v>
      </c>
      <c r="K33" s="48" t="s">
        <v>21</v>
      </c>
      <c r="L33" s="48" t="s">
        <v>758</v>
      </c>
      <c r="M33" s="48" t="s">
        <v>758</v>
      </c>
      <c r="N33" s="71" t="s">
        <v>2305</v>
      </c>
    </row>
    <row r="34" spans="1:14" ht="36.75">
      <c r="A34" s="50">
        <v>33</v>
      </c>
      <c r="B34" s="60" t="s">
        <v>791</v>
      </c>
      <c r="C34" s="48" t="s">
        <v>34</v>
      </c>
      <c r="D34" s="48" t="s">
        <v>755</v>
      </c>
      <c r="E34" s="47">
        <v>10</v>
      </c>
      <c r="F34" s="46" t="s">
        <v>756</v>
      </c>
      <c r="G34" s="48" t="s">
        <v>757</v>
      </c>
      <c r="H34" s="54">
        <v>0.2</v>
      </c>
      <c r="I34" s="68">
        <v>2</v>
      </c>
      <c r="J34" s="48" t="s">
        <v>758</v>
      </c>
      <c r="K34" s="48" t="s">
        <v>21</v>
      </c>
      <c r="L34" s="48" t="s">
        <v>758</v>
      </c>
      <c r="M34" s="48" t="s">
        <v>758</v>
      </c>
      <c r="N34" s="71" t="s">
        <v>2305</v>
      </c>
    </row>
    <row r="35" spans="1:14" ht="36.75">
      <c r="A35" s="50">
        <v>34</v>
      </c>
      <c r="B35" s="60" t="s">
        <v>792</v>
      </c>
      <c r="C35" s="48" t="s">
        <v>34</v>
      </c>
      <c r="D35" s="48" t="s">
        <v>755</v>
      </c>
      <c r="E35" s="47">
        <v>2</v>
      </c>
      <c r="F35" s="46" t="s">
        <v>756</v>
      </c>
      <c r="G35" s="48" t="s">
        <v>757</v>
      </c>
      <c r="H35" s="54">
        <v>18.739999999999998</v>
      </c>
      <c r="I35" s="68">
        <v>37.479999999999997</v>
      </c>
      <c r="J35" s="48" t="s">
        <v>758</v>
      </c>
      <c r="K35" s="48" t="s">
        <v>21</v>
      </c>
      <c r="L35" s="48" t="s">
        <v>758</v>
      </c>
      <c r="M35" s="48" t="s">
        <v>758</v>
      </c>
      <c r="N35" s="71" t="s">
        <v>2305</v>
      </c>
    </row>
    <row r="36" spans="1:14" ht="36.75">
      <c r="A36" s="50">
        <v>35</v>
      </c>
      <c r="B36" s="60" t="s">
        <v>793</v>
      </c>
      <c r="C36" s="48" t="s">
        <v>34</v>
      </c>
      <c r="D36" s="48" t="s">
        <v>755</v>
      </c>
      <c r="E36" s="47">
        <v>10</v>
      </c>
      <c r="F36" s="47" t="s">
        <v>794</v>
      </c>
      <c r="G36" s="48" t="s">
        <v>757</v>
      </c>
      <c r="H36" s="54">
        <v>14.89</v>
      </c>
      <c r="I36" s="68">
        <v>148.9</v>
      </c>
      <c r="J36" s="48" t="s">
        <v>758</v>
      </c>
      <c r="K36" s="48" t="s">
        <v>21</v>
      </c>
      <c r="L36" s="48" t="s">
        <v>758</v>
      </c>
      <c r="M36" s="48" t="s">
        <v>758</v>
      </c>
      <c r="N36" s="71" t="s">
        <v>2305</v>
      </c>
    </row>
    <row r="37" spans="1:14" ht="36.75">
      <c r="A37" s="50">
        <v>36</v>
      </c>
      <c r="B37" s="60" t="s">
        <v>795</v>
      </c>
      <c r="C37" s="48" t="s">
        <v>34</v>
      </c>
      <c r="D37" s="48" t="s">
        <v>755</v>
      </c>
      <c r="E37" s="47">
        <v>6</v>
      </c>
      <c r="F37" s="47" t="s">
        <v>756</v>
      </c>
      <c r="G37" s="48" t="s">
        <v>757</v>
      </c>
      <c r="H37" s="54">
        <v>3.6</v>
      </c>
      <c r="I37" s="68">
        <v>21.6</v>
      </c>
      <c r="J37" s="48" t="s">
        <v>758</v>
      </c>
      <c r="K37" s="48" t="s">
        <v>21</v>
      </c>
      <c r="L37" s="48" t="s">
        <v>758</v>
      </c>
      <c r="M37" s="48" t="s">
        <v>758</v>
      </c>
      <c r="N37" s="71" t="s">
        <v>2305</v>
      </c>
    </row>
    <row r="38" spans="1:14" ht="36.75">
      <c r="A38" s="50">
        <v>37</v>
      </c>
      <c r="B38" s="60" t="s">
        <v>796</v>
      </c>
      <c r="C38" s="48" t="s">
        <v>797</v>
      </c>
      <c r="D38" s="48" t="s">
        <v>755</v>
      </c>
      <c r="E38" s="47">
        <v>50</v>
      </c>
      <c r="F38" s="47" t="s">
        <v>756</v>
      </c>
      <c r="G38" s="48" t="s">
        <v>757</v>
      </c>
      <c r="H38" s="54">
        <v>10</v>
      </c>
      <c r="I38" s="68">
        <v>500</v>
      </c>
      <c r="J38" s="48" t="s">
        <v>758</v>
      </c>
      <c r="K38" s="48" t="s">
        <v>21</v>
      </c>
      <c r="L38" s="48" t="s">
        <v>758</v>
      </c>
      <c r="M38" s="48" t="s">
        <v>758</v>
      </c>
      <c r="N38" s="71" t="s">
        <v>2305</v>
      </c>
    </row>
    <row r="39" spans="1:14" ht="36.75">
      <c r="A39" s="50">
        <v>38</v>
      </c>
      <c r="B39" s="56" t="s">
        <v>2249</v>
      </c>
      <c r="C39" s="48" t="s">
        <v>34</v>
      </c>
      <c r="D39" s="48" t="s">
        <v>168</v>
      </c>
      <c r="E39" s="48">
        <v>1</v>
      </c>
      <c r="F39" s="48" t="s">
        <v>756</v>
      </c>
      <c r="G39" s="48" t="s">
        <v>757</v>
      </c>
      <c r="H39" s="64">
        <v>100</v>
      </c>
      <c r="I39" s="66">
        <v>100</v>
      </c>
      <c r="J39" s="48" t="s">
        <v>20</v>
      </c>
      <c r="K39" s="48" t="s">
        <v>21</v>
      </c>
      <c r="L39" s="48" t="s">
        <v>758</v>
      </c>
      <c r="M39" s="48" t="s">
        <v>758</v>
      </c>
      <c r="N39" s="71" t="s">
        <v>2305</v>
      </c>
    </row>
    <row r="40" spans="1:14" ht="36.75">
      <c r="A40" s="50">
        <v>39</v>
      </c>
      <c r="B40" s="56" t="s">
        <v>798</v>
      </c>
      <c r="C40" s="48" t="s">
        <v>34</v>
      </c>
      <c r="D40" s="48" t="s">
        <v>168</v>
      </c>
      <c r="E40" s="48">
        <v>1</v>
      </c>
      <c r="F40" s="48" t="s">
        <v>756</v>
      </c>
      <c r="G40" s="48" t="s">
        <v>757</v>
      </c>
      <c r="H40" s="64">
        <v>100</v>
      </c>
      <c r="I40" s="66">
        <v>100</v>
      </c>
      <c r="J40" s="48" t="s">
        <v>20</v>
      </c>
      <c r="K40" s="48" t="s">
        <v>21</v>
      </c>
      <c r="L40" s="48" t="s">
        <v>758</v>
      </c>
      <c r="M40" s="48" t="s">
        <v>758</v>
      </c>
      <c r="N40" s="71" t="s">
        <v>2305</v>
      </c>
    </row>
    <row r="41" spans="1:14" ht="36.75">
      <c r="A41" s="50">
        <v>40</v>
      </c>
      <c r="B41" s="60" t="s">
        <v>799</v>
      </c>
      <c r="C41" s="48" t="s">
        <v>172</v>
      </c>
      <c r="D41" s="48" t="s">
        <v>168</v>
      </c>
      <c r="E41" s="48">
        <v>3</v>
      </c>
      <c r="F41" s="48" t="s">
        <v>756</v>
      </c>
      <c r="G41" s="48" t="s">
        <v>757</v>
      </c>
      <c r="H41" s="65">
        <v>369</v>
      </c>
      <c r="I41" s="66">
        <v>1107</v>
      </c>
      <c r="J41" s="48" t="s">
        <v>20</v>
      </c>
      <c r="K41" s="48" t="s">
        <v>21</v>
      </c>
      <c r="L41" s="48" t="s">
        <v>758</v>
      </c>
      <c r="M41" s="48" t="s">
        <v>758</v>
      </c>
      <c r="N41" s="71" t="s">
        <v>2305</v>
      </c>
    </row>
    <row r="42" spans="1:14" ht="36.75">
      <c r="A42" s="50">
        <v>41</v>
      </c>
      <c r="B42" s="56" t="s">
        <v>800</v>
      </c>
      <c r="C42" s="48" t="s">
        <v>801</v>
      </c>
      <c r="D42" s="48" t="s">
        <v>168</v>
      </c>
      <c r="E42" s="48">
        <v>3</v>
      </c>
      <c r="F42" s="48" t="s">
        <v>756</v>
      </c>
      <c r="G42" s="48" t="s">
        <v>802</v>
      </c>
      <c r="H42" s="64">
        <v>299</v>
      </c>
      <c r="I42" s="66">
        <v>897</v>
      </c>
      <c r="J42" s="48" t="s">
        <v>20</v>
      </c>
      <c r="K42" s="48" t="s">
        <v>21</v>
      </c>
      <c r="L42" s="48" t="s">
        <v>758</v>
      </c>
      <c r="M42" s="48" t="s">
        <v>758</v>
      </c>
      <c r="N42" s="71" t="s">
        <v>2305</v>
      </c>
    </row>
    <row r="43" spans="1:14" ht="36.75">
      <c r="A43" s="50">
        <v>42</v>
      </c>
      <c r="B43" s="60" t="s">
        <v>2250</v>
      </c>
      <c r="C43" s="48" t="s">
        <v>34</v>
      </c>
      <c r="D43" s="48" t="s">
        <v>168</v>
      </c>
      <c r="E43" s="48">
        <v>1</v>
      </c>
      <c r="F43" s="48" t="s">
        <v>756</v>
      </c>
      <c r="G43" s="48" t="s">
        <v>757</v>
      </c>
      <c r="H43" s="53">
        <v>80000</v>
      </c>
      <c r="I43" s="53">
        <v>80000</v>
      </c>
      <c r="J43" s="48" t="s">
        <v>21</v>
      </c>
      <c r="K43" s="48" t="s">
        <v>758</v>
      </c>
      <c r="L43" s="48" t="s">
        <v>758</v>
      </c>
      <c r="M43" s="48" t="s">
        <v>758</v>
      </c>
      <c r="N43" s="71" t="s">
        <v>2305</v>
      </c>
    </row>
    <row r="44" spans="1:14" ht="36.75">
      <c r="A44" s="50">
        <v>43</v>
      </c>
      <c r="B44" s="56" t="s">
        <v>803</v>
      </c>
      <c r="C44" s="48" t="s">
        <v>34</v>
      </c>
      <c r="D44" s="48" t="s">
        <v>168</v>
      </c>
      <c r="E44" s="48">
        <v>1</v>
      </c>
      <c r="F44" s="48" t="s">
        <v>756</v>
      </c>
      <c r="G44" s="48" t="s">
        <v>757</v>
      </c>
      <c r="H44" s="68">
        <v>60</v>
      </c>
      <c r="I44" s="68">
        <v>60</v>
      </c>
      <c r="J44" s="48" t="s">
        <v>758</v>
      </c>
      <c r="K44" s="48" t="s">
        <v>21</v>
      </c>
      <c r="L44" s="48" t="s">
        <v>758</v>
      </c>
      <c r="M44" s="48" t="s">
        <v>758</v>
      </c>
      <c r="N44" s="71" t="s">
        <v>2305</v>
      </c>
    </row>
    <row r="45" spans="1:14" ht="36.75">
      <c r="A45" s="50">
        <v>44</v>
      </c>
      <c r="B45" s="56" t="s">
        <v>804</v>
      </c>
      <c r="C45" s="48" t="s">
        <v>34</v>
      </c>
      <c r="D45" s="48" t="s">
        <v>805</v>
      </c>
      <c r="E45" s="48">
        <v>1</v>
      </c>
      <c r="F45" s="48" t="s">
        <v>756</v>
      </c>
      <c r="G45" s="48" t="s">
        <v>757</v>
      </c>
      <c r="H45" s="68">
        <v>350</v>
      </c>
      <c r="I45" s="68">
        <v>350</v>
      </c>
      <c r="J45" s="48" t="s">
        <v>758</v>
      </c>
      <c r="K45" s="48" t="s">
        <v>21</v>
      </c>
      <c r="L45" s="48" t="s">
        <v>758</v>
      </c>
      <c r="M45" s="48" t="s">
        <v>758</v>
      </c>
      <c r="N45" s="71" t="s">
        <v>2305</v>
      </c>
    </row>
    <row r="46" spans="1:14" ht="36.75">
      <c r="A46" s="50">
        <v>45</v>
      </c>
      <c r="B46" s="60" t="s">
        <v>806</v>
      </c>
      <c r="C46" s="48" t="s">
        <v>34</v>
      </c>
      <c r="D46" s="48" t="s">
        <v>168</v>
      </c>
      <c r="E46" s="48">
        <v>1</v>
      </c>
      <c r="F46" s="48" t="s">
        <v>756</v>
      </c>
      <c r="G46" s="48" t="s">
        <v>757</v>
      </c>
      <c r="H46" s="68">
        <v>6500</v>
      </c>
      <c r="I46" s="68">
        <v>6500</v>
      </c>
      <c r="J46" s="48" t="s">
        <v>758</v>
      </c>
      <c r="K46" s="48" t="s">
        <v>21</v>
      </c>
      <c r="L46" s="48" t="s">
        <v>758</v>
      </c>
      <c r="M46" s="48" t="s">
        <v>758</v>
      </c>
      <c r="N46" s="71" t="s">
        <v>2305</v>
      </c>
    </row>
    <row r="47" spans="1:14" ht="36.75">
      <c r="A47" s="50">
        <v>46</v>
      </c>
      <c r="B47" s="60" t="s">
        <v>807</v>
      </c>
      <c r="C47" s="48" t="s">
        <v>34</v>
      </c>
      <c r="D47" s="48" t="s">
        <v>168</v>
      </c>
      <c r="E47" s="48">
        <v>1</v>
      </c>
      <c r="F47" s="48" t="s">
        <v>756</v>
      </c>
      <c r="G47" s="48" t="s">
        <v>757</v>
      </c>
      <c r="H47" s="62">
        <v>2399</v>
      </c>
      <c r="I47" s="68">
        <v>2399</v>
      </c>
      <c r="J47" s="48" t="s">
        <v>758</v>
      </c>
      <c r="K47" s="48" t="s">
        <v>21</v>
      </c>
      <c r="L47" s="48" t="s">
        <v>758</v>
      </c>
      <c r="M47" s="48" t="s">
        <v>758</v>
      </c>
      <c r="N47" s="71" t="s">
        <v>2305</v>
      </c>
    </row>
    <row r="48" spans="1:14" ht="36.75">
      <c r="A48" s="50">
        <v>47</v>
      </c>
      <c r="B48" s="55" t="s">
        <v>808</v>
      </c>
      <c r="C48" s="48" t="s">
        <v>34</v>
      </c>
      <c r="D48" s="48" t="s">
        <v>168</v>
      </c>
      <c r="E48" s="48">
        <v>1</v>
      </c>
      <c r="F48" s="48" t="s">
        <v>756</v>
      </c>
      <c r="G48" s="48" t="s">
        <v>757</v>
      </c>
      <c r="H48" s="68">
        <v>289.89999999999998</v>
      </c>
      <c r="I48" s="68">
        <v>289.89999999999998</v>
      </c>
      <c r="J48" s="48" t="s">
        <v>758</v>
      </c>
      <c r="K48" s="48" t="s">
        <v>21</v>
      </c>
      <c r="L48" s="48" t="s">
        <v>758</v>
      </c>
      <c r="M48" s="48" t="s">
        <v>758</v>
      </c>
      <c r="N48" s="71" t="s">
        <v>2305</v>
      </c>
    </row>
    <row r="49" spans="1:14" ht="36.75">
      <c r="A49" s="50">
        <v>48</v>
      </c>
      <c r="B49" s="63" t="s">
        <v>809</v>
      </c>
      <c r="C49" s="48" t="s">
        <v>34</v>
      </c>
      <c r="D49" s="48" t="s">
        <v>168</v>
      </c>
      <c r="E49" s="52">
        <v>1</v>
      </c>
      <c r="F49" s="48" t="s">
        <v>756</v>
      </c>
      <c r="G49" s="48" t="s">
        <v>757</v>
      </c>
      <c r="H49" s="68">
        <v>50</v>
      </c>
      <c r="I49" s="68">
        <v>50</v>
      </c>
      <c r="J49" s="48" t="s">
        <v>758</v>
      </c>
      <c r="K49" s="48" t="s">
        <v>21</v>
      </c>
      <c r="L49" s="48" t="s">
        <v>758</v>
      </c>
      <c r="M49" s="48" t="s">
        <v>758</v>
      </c>
      <c r="N49" s="71" t="s">
        <v>2305</v>
      </c>
    </row>
    <row r="50" spans="1:14" ht="36.75">
      <c r="A50" s="50">
        <v>49</v>
      </c>
      <c r="B50" s="73" t="s">
        <v>2251</v>
      </c>
      <c r="C50" s="48" t="s">
        <v>34</v>
      </c>
      <c r="D50" s="48" t="s">
        <v>168</v>
      </c>
      <c r="E50" s="48">
        <v>1</v>
      </c>
      <c r="F50" s="48" t="s">
        <v>756</v>
      </c>
      <c r="G50" s="48" t="s">
        <v>757</v>
      </c>
      <c r="H50" s="54">
        <v>1099</v>
      </c>
      <c r="I50" s="68">
        <v>1099</v>
      </c>
      <c r="J50" s="48" t="s">
        <v>758</v>
      </c>
      <c r="K50" s="48" t="s">
        <v>21</v>
      </c>
      <c r="L50" s="48" t="s">
        <v>758</v>
      </c>
      <c r="M50" s="48" t="s">
        <v>758</v>
      </c>
      <c r="N50" s="71" t="s">
        <v>2305</v>
      </c>
    </row>
    <row r="51" spans="1:14" ht="36.75">
      <c r="A51" s="50">
        <v>50</v>
      </c>
      <c r="B51" s="70" t="s">
        <v>2252</v>
      </c>
      <c r="C51" s="48" t="s">
        <v>347</v>
      </c>
      <c r="D51" s="48" t="s">
        <v>2253</v>
      </c>
      <c r="E51" s="48">
        <v>2</v>
      </c>
      <c r="F51" s="48" t="s">
        <v>2254</v>
      </c>
      <c r="G51" s="48" t="s">
        <v>757</v>
      </c>
      <c r="H51" s="54">
        <v>600</v>
      </c>
      <c r="I51" s="69">
        <v>1200</v>
      </c>
      <c r="J51" s="48" t="s">
        <v>20</v>
      </c>
      <c r="K51" s="48" t="s">
        <v>331</v>
      </c>
      <c r="L51" s="48" t="s">
        <v>758</v>
      </c>
      <c r="M51" s="48" t="s">
        <v>758</v>
      </c>
      <c r="N51" s="71" t="s">
        <v>2305</v>
      </c>
    </row>
    <row r="52" spans="1:14" ht="39">
      <c r="A52" s="50">
        <v>51</v>
      </c>
      <c r="B52" s="70" t="s">
        <v>2255</v>
      </c>
      <c r="C52" s="48" t="s">
        <v>347</v>
      </c>
      <c r="D52" s="48" t="s">
        <v>2256</v>
      </c>
      <c r="E52" s="48">
        <v>12</v>
      </c>
      <c r="F52" s="48" t="s">
        <v>2254</v>
      </c>
      <c r="G52" s="48" t="s">
        <v>757</v>
      </c>
      <c r="H52" s="54">
        <v>170.33</v>
      </c>
      <c r="I52" s="69">
        <v>2043.96</v>
      </c>
      <c r="J52" s="48" t="s">
        <v>20</v>
      </c>
      <c r="K52" s="48" t="s">
        <v>331</v>
      </c>
      <c r="L52" s="48" t="s">
        <v>758</v>
      </c>
      <c r="M52" s="48" t="s">
        <v>758</v>
      </c>
      <c r="N52" s="71" t="s">
        <v>2305</v>
      </c>
    </row>
    <row r="53" spans="1:14" ht="36.75">
      <c r="A53" s="50">
        <v>52</v>
      </c>
      <c r="B53" s="56" t="s">
        <v>810</v>
      </c>
      <c r="C53" s="48" t="s">
        <v>801</v>
      </c>
      <c r="D53" s="48" t="s">
        <v>811</v>
      </c>
      <c r="E53" s="48">
        <v>576</v>
      </c>
      <c r="F53" s="48" t="s">
        <v>756</v>
      </c>
      <c r="G53" s="48" t="s">
        <v>757</v>
      </c>
      <c r="H53" s="54">
        <v>1.5</v>
      </c>
      <c r="I53" s="69">
        <v>864</v>
      </c>
      <c r="J53" s="48" t="s">
        <v>20</v>
      </c>
      <c r="K53" s="48" t="s">
        <v>331</v>
      </c>
      <c r="L53" s="48" t="s">
        <v>758</v>
      </c>
      <c r="M53" s="48" t="s">
        <v>758</v>
      </c>
      <c r="N53" s="71" t="s">
        <v>2305</v>
      </c>
    </row>
    <row r="54" spans="1:14" ht="36.75">
      <c r="A54" s="50">
        <v>53</v>
      </c>
      <c r="B54" s="56" t="s">
        <v>812</v>
      </c>
      <c r="C54" s="48" t="s">
        <v>801</v>
      </c>
      <c r="D54" s="48" t="s">
        <v>811</v>
      </c>
      <c r="E54" s="48">
        <v>60</v>
      </c>
      <c r="F54" s="48" t="s">
        <v>813</v>
      </c>
      <c r="G54" s="48" t="s">
        <v>757</v>
      </c>
      <c r="H54" s="54">
        <v>12</v>
      </c>
      <c r="I54" s="69">
        <v>720</v>
      </c>
      <c r="J54" s="48" t="s">
        <v>20</v>
      </c>
      <c r="K54" s="48" t="s">
        <v>331</v>
      </c>
      <c r="L54" s="48" t="s">
        <v>758</v>
      </c>
      <c r="M54" s="48" t="s">
        <v>758</v>
      </c>
      <c r="N54" s="71" t="s">
        <v>2305</v>
      </c>
    </row>
  </sheetData>
  <pageMargins left="0.511811024" right="0.511811024" top="0.78740157499999996" bottom="0.78740157499999996" header="0.31496062000000002" footer="0.3149606200000000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61E59-32F4-41FF-B37E-FFB61A353F51}">
  <dimension ref="A1:L70"/>
  <sheetViews>
    <sheetView workbookViewId="0">
      <selection activeCell="P3" sqref="P3"/>
    </sheetView>
  </sheetViews>
  <sheetFormatPr defaultRowHeight="15"/>
  <cols>
    <col min="2" max="2" width="33.42578125" customWidth="1"/>
    <col min="8" max="8" width="27.140625" customWidth="1"/>
  </cols>
  <sheetData>
    <row r="1" spans="1:12" ht="60">
      <c r="A1" s="150" t="s">
        <v>0</v>
      </c>
      <c r="B1" s="150" t="s">
        <v>409</v>
      </c>
      <c r="C1" s="150" t="s">
        <v>410</v>
      </c>
      <c r="D1" s="150" t="s">
        <v>1</v>
      </c>
      <c r="E1" s="150" t="s">
        <v>582</v>
      </c>
      <c r="F1" s="150" t="s">
        <v>8</v>
      </c>
      <c r="G1" s="150" t="s">
        <v>412</v>
      </c>
      <c r="H1" s="150" t="s">
        <v>3</v>
      </c>
      <c r="I1" s="150" t="s">
        <v>4</v>
      </c>
      <c r="J1" s="150" t="s">
        <v>5</v>
      </c>
      <c r="K1" s="150" t="s">
        <v>2306</v>
      </c>
      <c r="L1" s="150" t="s">
        <v>7</v>
      </c>
    </row>
    <row r="2" spans="1:12" ht="30">
      <c r="A2" s="37">
        <v>1</v>
      </c>
      <c r="B2" s="37" t="s">
        <v>2307</v>
      </c>
      <c r="C2" s="37" t="s">
        <v>34</v>
      </c>
      <c r="D2" s="37" t="s">
        <v>168</v>
      </c>
      <c r="E2" s="37">
        <v>18</v>
      </c>
      <c r="F2" s="37" t="s">
        <v>756</v>
      </c>
      <c r="G2" s="37" t="s">
        <v>227</v>
      </c>
      <c r="H2" s="151">
        <v>120000</v>
      </c>
      <c r="I2" s="37" t="s">
        <v>20</v>
      </c>
      <c r="J2" s="37" t="s">
        <v>415</v>
      </c>
      <c r="K2" s="37" t="s">
        <v>2308</v>
      </c>
      <c r="L2" s="37" t="s">
        <v>20</v>
      </c>
    </row>
    <row r="3" spans="1:12" ht="30">
      <c r="A3" s="37">
        <v>2</v>
      </c>
      <c r="B3" s="37" t="s">
        <v>2309</v>
      </c>
      <c r="C3" s="37" t="s">
        <v>34</v>
      </c>
      <c r="D3" s="37" t="s">
        <v>168</v>
      </c>
      <c r="E3" s="40">
        <v>15</v>
      </c>
      <c r="F3" s="37" t="s">
        <v>756</v>
      </c>
      <c r="G3" s="37" t="s">
        <v>599</v>
      </c>
      <c r="H3" s="151">
        <v>20000</v>
      </c>
      <c r="I3" s="37" t="s">
        <v>20</v>
      </c>
      <c r="J3" s="37" t="s">
        <v>415</v>
      </c>
      <c r="K3" s="37" t="s">
        <v>2308</v>
      </c>
      <c r="L3" s="37" t="s">
        <v>20</v>
      </c>
    </row>
    <row r="4" spans="1:12" ht="45">
      <c r="A4" s="37">
        <v>3</v>
      </c>
      <c r="B4" s="37" t="s">
        <v>2310</v>
      </c>
      <c r="C4" s="37" t="s">
        <v>25</v>
      </c>
      <c r="D4" s="3" t="s">
        <v>2311</v>
      </c>
      <c r="E4" s="3" t="s">
        <v>2312</v>
      </c>
      <c r="F4" s="37" t="s">
        <v>756</v>
      </c>
      <c r="G4" s="3" t="s">
        <v>2313</v>
      </c>
      <c r="H4" s="151">
        <v>25000</v>
      </c>
      <c r="I4" s="37" t="s">
        <v>20</v>
      </c>
      <c r="J4" s="37" t="s">
        <v>415</v>
      </c>
      <c r="K4" s="37" t="s">
        <v>2308</v>
      </c>
      <c r="L4" s="37" t="s">
        <v>20</v>
      </c>
    </row>
    <row r="5" spans="1:12" ht="45">
      <c r="A5" s="37">
        <v>4</v>
      </c>
      <c r="B5" s="3" t="s">
        <v>2314</v>
      </c>
      <c r="C5" s="37" t="s">
        <v>34</v>
      </c>
      <c r="D5" s="3" t="s">
        <v>2315</v>
      </c>
      <c r="E5" s="115">
        <v>18</v>
      </c>
      <c r="F5" s="37" t="s">
        <v>756</v>
      </c>
      <c r="G5" s="37" t="s">
        <v>599</v>
      </c>
      <c r="H5" s="152">
        <v>20000</v>
      </c>
      <c r="I5" s="37" t="s">
        <v>20</v>
      </c>
      <c r="J5" s="37" t="s">
        <v>415</v>
      </c>
      <c r="K5" s="37" t="s">
        <v>2308</v>
      </c>
      <c r="L5" s="37" t="s">
        <v>20</v>
      </c>
    </row>
    <row r="6" spans="1:12" ht="45">
      <c r="A6" s="37">
        <v>5</v>
      </c>
      <c r="B6" s="3" t="s">
        <v>2316</v>
      </c>
      <c r="C6" s="37" t="s">
        <v>34</v>
      </c>
      <c r="D6" s="37" t="s">
        <v>168</v>
      </c>
      <c r="E6" s="115">
        <v>18</v>
      </c>
      <c r="F6" s="37" t="s">
        <v>756</v>
      </c>
      <c r="G6" s="3" t="s">
        <v>2317</v>
      </c>
      <c r="H6" s="152">
        <v>7500</v>
      </c>
      <c r="I6" s="37" t="s">
        <v>20</v>
      </c>
      <c r="J6" s="37" t="s">
        <v>415</v>
      </c>
      <c r="K6" s="37" t="s">
        <v>2308</v>
      </c>
      <c r="L6" s="37" t="s">
        <v>20</v>
      </c>
    </row>
    <row r="7" spans="1:12" ht="45">
      <c r="A7" s="37">
        <v>6</v>
      </c>
      <c r="B7" s="37" t="s">
        <v>2318</v>
      </c>
      <c r="C7" s="37" t="s">
        <v>2319</v>
      </c>
      <c r="D7" s="3" t="s">
        <v>2315</v>
      </c>
      <c r="E7" s="37">
        <v>5</v>
      </c>
      <c r="F7" s="37" t="s">
        <v>756</v>
      </c>
      <c r="G7" s="37" t="s">
        <v>599</v>
      </c>
      <c r="H7" s="151">
        <v>10000</v>
      </c>
      <c r="I7" s="37" t="s">
        <v>20</v>
      </c>
      <c r="J7" s="37" t="s">
        <v>415</v>
      </c>
      <c r="K7" s="37" t="s">
        <v>2308</v>
      </c>
      <c r="L7" s="37" t="s">
        <v>20</v>
      </c>
    </row>
    <row r="8" spans="1:12" ht="30">
      <c r="A8" s="37">
        <v>7</v>
      </c>
      <c r="B8" s="37" t="s">
        <v>2320</v>
      </c>
      <c r="C8" s="37" t="s">
        <v>34</v>
      </c>
      <c r="D8" s="37" t="s">
        <v>168</v>
      </c>
      <c r="E8" s="37">
        <v>5</v>
      </c>
      <c r="F8" s="37" t="s">
        <v>756</v>
      </c>
      <c r="G8" s="37" t="s">
        <v>599</v>
      </c>
      <c r="H8" s="151">
        <v>8000</v>
      </c>
      <c r="I8" s="37" t="s">
        <v>20</v>
      </c>
      <c r="J8" s="37" t="s">
        <v>415</v>
      </c>
      <c r="K8" s="37" t="s">
        <v>2308</v>
      </c>
      <c r="L8" s="37" t="s">
        <v>20</v>
      </c>
    </row>
    <row r="9" spans="1:12" ht="30">
      <c r="A9" s="37">
        <v>8</v>
      </c>
      <c r="B9" s="37" t="s">
        <v>2321</v>
      </c>
      <c r="C9" s="37" t="s">
        <v>34</v>
      </c>
      <c r="D9" s="37" t="s">
        <v>168</v>
      </c>
      <c r="E9" s="37">
        <v>10</v>
      </c>
      <c r="F9" s="37" t="s">
        <v>756</v>
      </c>
      <c r="G9" s="37" t="s">
        <v>599</v>
      </c>
      <c r="H9" s="153">
        <v>1000</v>
      </c>
      <c r="I9" s="37" t="s">
        <v>20</v>
      </c>
      <c r="J9" s="37" t="s">
        <v>415</v>
      </c>
      <c r="K9" s="37" t="s">
        <v>2308</v>
      </c>
      <c r="L9" s="37" t="s">
        <v>20</v>
      </c>
    </row>
    <row r="10" spans="1:12" ht="30">
      <c r="A10" s="37">
        <v>9</v>
      </c>
      <c r="B10" s="37" t="s">
        <v>2322</v>
      </c>
      <c r="C10" s="37" t="s">
        <v>34</v>
      </c>
      <c r="D10" s="37" t="s">
        <v>168</v>
      </c>
      <c r="E10" s="37">
        <v>1</v>
      </c>
      <c r="F10" s="37" t="s">
        <v>756</v>
      </c>
      <c r="G10" s="37" t="s">
        <v>599</v>
      </c>
      <c r="H10" s="152">
        <v>40000</v>
      </c>
      <c r="I10" s="37" t="s">
        <v>20</v>
      </c>
      <c r="J10" s="37" t="s">
        <v>415</v>
      </c>
      <c r="K10" s="37" t="s">
        <v>2308</v>
      </c>
      <c r="L10" s="37" t="s">
        <v>20</v>
      </c>
    </row>
    <row r="11" spans="1:12" ht="30">
      <c r="A11" s="37">
        <v>10</v>
      </c>
      <c r="B11" s="37" t="s">
        <v>2323</v>
      </c>
      <c r="C11" s="37" t="s">
        <v>34</v>
      </c>
      <c r="D11" s="37" t="s">
        <v>168</v>
      </c>
      <c r="E11" s="37">
        <v>10</v>
      </c>
      <c r="F11" s="37" t="s">
        <v>756</v>
      </c>
      <c r="G11" s="37" t="s">
        <v>599</v>
      </c>
      <c r="H11" s="152">
        <v>10000</v>
      </c>
      <c r="I11" s="37" t="s">
        <v>20</v>
      </c>
      <c r="J11" s="37" t="s">
        <v>415</v>
      </c>
      <c r="K11" s="37" t="s">
        <v>2308</v>
      </c>
      <c r="L11" s="37" t="s">
        <v>20</v>
      </c>
    </row>
    <row r="12" spans="1:12" ht="30">
      <c r="A12" s="37">
        <v>11</v>
      </c>
      <c r="B12" s="37" t="s">
        <v>2324</v>
      </c>
      <c r="C12" s="37" t="s">
        <v>34</v>
      </c>
      <c r="D12" s="37" t="s">
        <v>168</v>
      </c>
      <c r="E12" s="37">
        <v>1</v>
      </c>
      <c r="F12" s="37" t="s">
        <v>756</v>
      </c>
      <c r="G12" s="37" t="s">
        <v>599</v>
      </c>
      <c r="H12" s="152">
        <v>3000</v>
      </c>
      <c r="I12" s="37" t="s">
        <v>20</v>
      </c>
      <c r="J12" s="37" t="s">
        <v>415</v>
      </c>
      <c r="K12" s="37" t="s">
        <v>2308</v>
      </c>
      <c r="L12" s="37" t="s">
        <v>20</v>
      </c>
    </row>
    <row r="13" spans="1:12" ht="30">
      <c r="A13" s="37">
        <v>12</v>
      </c>
      <c r="B13" s="154" t="s">
        <v>2325</v>
      </c>
      <c r="C13" s="37" t="s">
        <v>34</v>
      </c>
      <c r="D13" s="37" t="s">
        <v>168</v>
      </c>
      <c r="E13" s="37">
        <v>6</v>
      </c>
      <c r="F13" s="37" t="s">
        <v>756</v>
      </c>
      <c r="G13" s="37" t="s">
        <v>2326</v>
      </c>
      <c r="H13" s="152">
        <v>30000</v>
      </c>
      <c r="I13" s="37" t="s">
        <v>20</v>
      </c>
      <c r="J13" s="37" t="s">
        <v>415</v>
      </c>
      <c r="K13" s="37" t="s">
        <v>2308</v>
      </c>
      <c r="L13" s="37" t="s">
        <v>20</v>
      </c>
    </row>
    <row r="14" spans="1:12" ht="30">
      <c r="A14" s="37">
        <v>13</v>
      </c>
      <c r="B14" s="37" t="s">
        <v>2327</v>
      </c>
      <c r="C14" s="37" t="s">
        <v>34</v>
      </c>
      <c r="D14" s="37" t="s">
        <v>168</v>
      </c>
      <c r="E14" s="37">
        <v>1</v>
      </c>
      <c r="F14" s="37" t="s">
        <v>756</v>
      </c>
      <c r="G14" s="37" t="s">
        <v>599</v>
      </c>
      <c r="H14" s="152">
        <v>5000</v>
      </c>
      <c r="I14" s="37" t="s">
        <v>20</v>
      </c>
      <c r="J14" s="37" t="s">
        <v>492</v>
      </c>
      <c r="K14" s="37" t="s">
        <v>2308</v>
      </c>
      <c r="L14" s="37" t="s">
        <v>20</v>
      </c>
    </row>
    <row r="15" spans="1:12" ht="30">
      <c r="A15" s="37">
        <v>14</v>
      </c>
      <c r="B15" s="37" t="s">
        <v>2328</v>
      </c>
      <c r="C15" s="37" t="s">
        <v>34</v>
      </c>
      <c r="D15" s="37" t="s">
        <v>168</v>
      </c>
      <c r="E15" s="37">
        <v>2</v>
      </c>
      <c r="F15" s="37" t="s">
        <v>756</v>
      </c>
      <c r="G15" s="37" t="s">
        <v>599</v>
      </c>
      <c r="H15" s="152">
        <v>10000</v>
      </c>
      <c r="I15" s="37" t="s">
        <v>20</v>
      </c>
      <c r="J15" s="37" t="s">
        <v>492</v>
      </c>
      <c r="K15" s="37" t="s">
        <v>2308</v>
      </c>
      <c r="L15" s="37" t="s">
        <v>20</v>
      </c>
    </row>
    <row r="16" spans="1:12" ht="30">
      <c r="A16" s="37">
        <v>15</v>
      </c>
      <c r="B16" s="37" t="s">
        <v>2329</v>
      </c>
      <c r="C16" s="37" t="s">
        <v>34</v>
      </c>
      <c r="D16" s="37" t="s">
        <v>168</v>
      </c>
      <c r="E16" s="37">
        <v>1</v>
      </c>
      <c r="F16" s="37" t="s">
        <v>756</v>
      </c>
      <c r="G16" s="37" t="s">
        <v>886</v>
      </c>
      <c r="H16" s="152">
        <v>1000</v>
      </c>
      <c r="I16" s="37" t="s">
        <v>20</v>
      </c>
      <c r="J16" s="37" t="s">
        <v>492</v>
      </c>
      <c r="K16" s="37" t="s">
        <v>2308</v>
      </c>
      <c r="L16" s="37" t="s">
        <v>20</v>
      </c>
    </row>
    <row r="17" spans="1:12" ht="30">
      <c r="A17" s="37">
        <v>16</v>
      </c>
      <c r="B17" s="37" t="s">
        <v>2330</v>
      </c>
      <c r="C17" s="37" t="s">
        <v>34</v>
      </c>
      <c r="D17" s="37" t="s">
        <v>168</v>
      </c>
      <c r="E17" s="37">
        <v>1</v>
      </c>
      <c r="F17" s="37" t="s">
        <v>756</v>
      </c>
      <c r="G17" s="37" t="s">
        <v>886</v>
      </c>
      <c r="H17" s="152">
        <v>3000</v>
      </c>
      <c r="I17" s="37" t="s">
        <v>20</v>
      </c>
      <c r="J17" s="37" t="s">
        <v>492</v>
      </c>
      <c r="K17" s="37" t="s">
        <v>2308</v>
      </c>
      <c r="L17" s="37" t="s">
        <v>20</v>
      </c>
    </row>
    <row r="18" spans="1:12" ht="30">
      <c r="A18" s="37">
        <v>17</v>
      </c>
      <c r="B18" s="37" t="s">
        <v>2331</v>
      </c>
      <c r="C18" s="37" t="s">
        <v>34</v>
      </c>
      <c r="D18" s="37" t="s">
        <v>35</v>
      </c>
      <c r="E18" s="37">
        <v>12</v>
      </c>
      <c r="F18" s="37" t="s">
        <v>756</v>
      </c>
      <c r="G18" s="37" t="s">
        <v>599</v>
      </c>
      <c r="H18" s="153">
        <v>18</v>
      </c>
      <c r="I18" s="37" t="s">
        <v>20</v>
      </c>
      <c r="J18" s="37" t="s">
        <v>492</v>
      </c>
      <c r="K18" s="37" t="s">
        <v>2308</v>
      </c>
      <c r="L18" s="37" t="s">
        <v>20</v>
      </c>
    </row>
    <row r="19" spans="1:12" ht="30">
      <c r="A19" s="37">
        <v>18</v>
      </c>
      <c r="B19" s="37" t="s">
        <v>2332</v>
      </c>
      <c r="C19" s="37" t="s">
        <v>34</v>
      </c>
      <c r="D19" s="37" t="s">
        <v>35</v>
      </c>
      <c r="E19" s="37">
        <v>28</v>
      </c>
      <c r="F19" s="37" t="s">
        <v>756</v>
      </c>
      <c r="G19" s="37" t="s">
        <v>599</v>
      </c>
      <c r="H19" s="153">
        <v>112</v>
      </c>
      <c r="I19" s="37" t="s">
        <v>20</v>
      </c>
      <c r="J19" s="37" t="s">
        <v>492</v>
      </c>
      <c r="K19" s="37" t="s">
        <v>2308</v>
      </c>
      <c r="L19" s="37" t="s">
        <v>20</v>
      </c>
    </row>
    <row r="20" spans="1:12" ht="30">
      <c r="A20" s="37">
        <v>19</v>
      </c>
      <c r="B20" s="37" t="s">
        <v>2333</v>
      </c>
      <c r="C20" s="37" t="s">
        <v>34</v>
      </c>
      <c r="D20" s="37" t="s">
        <v>35</v>
      </c>
      <c r="E20" s="37">
        <v>64</v>
      </c>
      <c r="F20" s="37" t="s">
        <v>756</v>
      </c>
      <c r="G20" s="37" t="s">
        <v>599</v>
      </c>
      <c r="H20" s="153">
        <v>80</v>
      </c>
      <c r="I20" s="37" t="s">
        <v>20</v>
      </c>
      <c r="J20" s="37" t="s">
        <v>415</v>
      </c>
      <c r="K20" s="37" t="s">
        <v>2308</v>
      </c>
      <c r="L20" s="37" t="s">
        <v>20</v>
      </c>
    </row>
    <row r="21" spans="1:12" ht="30">
      <c r="A21" s="37">
        <v>20</v>
      </c>
      <c r="B21" s="37" t="s">
        <v>2334</v>
      </c>
      <c r="C21" s="37" t="s">
        <v>172</v>
      </c>
      <c r="D21" s="37" t="s">
        <v>35</v>
      </c>
      <c r="E21" s="37">
        <v>64</v>
      </c>
      <c r="F21" s="37" t="s">
        <v>756</v>
      </c>
      <c r="G21" s="37" t="s">
        <v>599</v>
      </c>
      <c r="H21" s="153">
        <v>80</v>
      </c>
      <c r="I21" s="37" t="s">
        <v>20</v>
      </c>
      <c r="J21" s="37" t="s">
        <v>415</v>
      </c>
      <c r="K21" s="37" t="s">
        <v>2308</v>
      </c>
      <c r="L21" s="37" t="s">
        <v>20</v>
      </c>
    </row>
    <row r="22" spans="1:12" ht="30">
      <c r="A22" s="37">
        <v>21</v>
      </c>
      <c r="B22" s="37" t="s">
        <v>2189</v>
      </c>
      <c r="C22" s="37" t="s">
        <v>34</v>
      </c>
      <c r="D22" s="37" t="s">
        <v>35</v>
      </c>
      <c r="E22" s="37">
        <v>40</v>
      </c>
      <c r="F22" s="37" t="s">
        <v>756</v>
      </c>
      <c r="G22" s="37" t="s">
        <v>599</v>
      </c>
      <c r="H22" s="153">
        <v>160</v>
      </c>
      <c r="I22" s="37" t="s">
        <v>20</v>
      </c>
      <c r="J22" s="37" t="s">
        <v>492</v>
      </c>
      <c r="K22" s="37" t="s">
        <v>2308</v>
      </c>
      <c r="L22" s="37" t="s">
        <v>20</v>
      </c>
    </row>
    <row r="23" spans="1:12" ht="30">
      <c r="A23" s="37">
        <v>22</v>
      </c>
      <c r="B23" s="37" t="s">
        <v>2335</v>
      </c>
      <c r="C23" s="37" t="s">
        <v>34</v>
      </c>
      <c r="D23" s="37" t="s">
        <v>35</v>
      </c>
      <c r="E23" s="37">
        <v>15</v>
      </c>
      <c r="F23" s="37" t="s">
        <v>756</v>
      </c>
      <c r="G23" s="37" t="s">
        <v>599</v>
      </c>
      <c r="H23" s="153">
        <v>525</v>
      </c>
      <c r="I23" s="37" t="s">
        <v>20</v>
      </c>
      <c r="J23" s="37" t="s">
        <v>492</v>
      </c>
      <c r="K23" s="37" t="s">
        <v>2308</v>
      </c>
      <c r="L23" s="37" t="s">
        <v>20</v>
      </c>
    </row>
    <row r="24" spans="1:12" ht="30">
      <c r="A24" s="37">
        <v>23</v>
      </c>
      <c r="B24" s="37" t="s">
        <v>2336</v>
      </c>
      <c r="C24" s="37" t="s">
        <v>34</v>
      </c>
      <c r="D24" s="37" t="s">
        <v>35</v>
      </c>
      <c r="E24" s="37">
        <v>22</v>
      </c>
      <c r="F24" s="37" t="s">
        <v>2337</v>
      </c>
      <c r="G24" s="37" t="s">
        <v>599</v>
      </c>
      <c r="H24" s="153">
        <v>374</v>
      </c>
      <c r="I24" s="37" t="s">
        <v>20</v>
      </c>
      <c r="J24" s="37" t="s">
        <v>492</v>
      </c>
      <c r="K24" s="37" t="s">
        <v>2308</v>
      </c>
      <c r="L24" s="37" t="s">
        <v>20</v>
      </c>
    </row>
    <row r="25" spans="1:12" ht="45">
      <c r="A25" s="37">
        <v>24</v>
      </c>
      <c r="B25" s="37" t="s">
        <v>2338</v>
      </c>
      <c r="C25" s="37" t="s">
        <v>34</v>
      </c>
      <c r="D25" s="37" t="s">
        <v>35</v>
      </c>
      <c r="E25" s="37">
        <v>650</v>
      </c>
      <c r="F25" s="37" t="s">
        <v>756</v>
      </c>
      <c r="G25" s="37" t="s">
        <v>599</v>
      </c>
      <c r="H25" s="153">
        <v>429</v>
      </c>
      <c r="I25" s="37" t="s">
        <v>20</v>
      </c>
      <c r="J25" s="37" t="s">
        <v>415</v>
      </c>
      <c r="K25" s="37" t="s">
        <v>2308</v>
      </c>
      <c r="L25" s="37" t="s">
        <v>2339</v>
      </c>
    </row>
    <row r="26" spans="1:12" ht="30">
      <c r="A26" s="37">
        <v>25</v>
      </c>
      <c r="B26" s="37" t="s">
        <v>2340</v>
      </c>
      <c r="C26" s="37" t="s">
        <v>34</v>
      </c>
      <c r="D26" s="37" t="s">
        <v>35</v>
      </c>
      <c r="E26" s="37">
        <v>160</v>
      </c>
      <c r="F26" s="37" t="s">
        <v>756</v>
      </c>
      <c r="G26" s="37" t="s">
        <v>599</v>
      </c>
      <c r="H26" s="153">
        <v>2400</v>
      </c>
      <c r="I26" s="37" t="s">
        <v>20</v>
      </c>
      <c r="J26" s="37" t="s">
        <v>415</v>
      </c>
      <c r="K26" s="37" t="s">
        <v>2308</v>
      </c>
      <c r="L26" s="37" t="s">
        <v>20</v>
      </c>
    </row>
    <row r="27" spans="1:12" ht="30">
      <c r="A27" s="37">
        <v>26</v>
      </c>
      <c r="B27" s="37" t="s">
        <v>2341</v>
      </c>
      <c r="C27" s="37" t="s">
        <v>34</v>
      </c>
      <c r="D27" s="37" t="s">
        <v>35</v>
      </c>
      <c r="E27" s="37">
        <v>23</v>
      </c>
      <c r="F27" s="37" t="s">
        <v>756</v>
      </c>
      <c r="G27" s="37" t="s">
        <v>599</v>
      </c>
      <c r="H27" s="153">
        <v>140</v>
      </c>
      <c r="I27" s="37" t="s">
        <v>20</v>
      </c>
      <c r="J27" s="37" t="s">
        <v>492</v>
      </c>
      <c r="K27" s="37" t="s">
        <v>2308</v>
      </c>
      <c r="L27" s="37" t="s">
        <v>20</v>
      </c>
    </row>
    <row r="28" spans="1:12" ht="30">
      <c r="A28" s="37">
        <v>27</v>
      </c>
      <c r="B28" s="37" t="s">
        <v>2342</v>
      </c>
      <c r="C28" s="37" t="s">
        <v>34</v>
      </c>
      <c r="D28" s="37" t="s">
        <v>35</v>
      </c>
      <c r="E28" s="37">
        <v>10</v>
      </c>
      <c r="F28" s="37" t="s">
        <v>2343</v>
      </c>
      <c r="G28" s="37" t="s">
        <v>599</v>
      </c>
      <c r="H28" s="153">
        <v>70</v>
      </c>
      <c r="I28" s="37" t="s">
        <v>20</v>
      </c>
      <c r="J28" s="37" t="s">
        <v>492</v>
      </c>
      <c r="K28" s="37" t="s">
        <v>2308</v>
      </c>
      <c r="L28" s="37" t="s">
        <v>20</v>
      </c>
    </row>
    <row r="29" spans="1:12" ht="45">
      <c r="A29" s="37">
        <v>28</v>
      </c>
      <c r="B29" s="37" t="s">
        <v>2344</v>
      </c>
      <c r="C29" s="37" t="s">
        <v>34</v>
      </c>
      <c r="D29" s="37" t="s">
        <v>35</v>
      </c>
      <c r="E29" s="37">
        <v>60</v>
      </c>
      <c r="F29" s="37" t="s">
        <v>2345</v>
      </c>
      <c r="G29" s="37" t="s">
        <v>599</v>
      </c>
      <c r="H29" s="153">
        <v>2700</v>
      </c>
      <c r="I29" s="37" t="s">
        <v>20</v>
      </c>
      <c r="J29" s="37" t="s">
        <v>415</v>
      </c>
      <c r="K29" s="37" t="s">
        <v>2308</v>
      </c>
      <c r="L29" s="37" t="s">
        <v>2346</v>
      </c>
    </row>
    <row r="30" spans="1:12" ht="45">
      <c r="A30" s="37">
        <v>29</v>
      </c>
      <c r="B30" s="37" t="s">
        <v>2347</v>
      </c>
      <c r="C30" s="37" t="s">
        <v>34</v>
      </c>
      <c r="D30" s="37" t="s">
        <v>35</v>
      </c>
      <c r="E30" s="37">
        <v>1000</v>
      </c>
      <c r="F30" s="37" t="s">
        <v>756</v>
      </c>
      <c r="G30" s="37" t="s">
        <v>599</v>
      </c>
      <c r="H30" s="153">
        <v>580</v>
      </c>
      <c r="I30" s="37" t="s">
        <v>20</v>
      </c>
      <c r="J30" s="37" t="s">
        <v>415</v>
      </c>
      <c r="K30" s="37" t="s">
        <v>2308</v>
      </c>
      <c r="L30" s="37" t="s">
        <v>2346</v>
      </c>
    </row>
    <row r="31" spans="1:12" ht="30">
      <c r="A31" s="37">
        <v>30</v>
      </c>
      <c r="B31" s="37" t="s">
        <v>2348</v>
      </c>
      <c r="C31" s="37" t="s">
        <v>34</v>
      </c>
      <c r="D31" s="37" t="s">
        <v>35</v>
      </c>
      <c r="E31" s="37">
        <v>12</v>
      </c>
      <c r="F31" s="37" t="s">
        <v>756</v>
      </c>
      <c r="G31" s="37" t="s">
        <v>599</v>
      </c>
      <c r="H31" s="153">
        <v>75</v>
      </c>
      <c r="I31" s="37" t="s">
        <v>20</v>
      </c>
      <c r="J31" s="37" t="s">
        <v>492</v>
      </c>
      <c r="K31" s="37" t="s">
        <v>2308</v>
      </c>
      <c r="L31" s="37" t="s">
        <v>20</v>
      </c>
    </row>
    <row r="32" spans="1:12" ht="30">
      <c r="A32" s="37">
        <v>31</v>
      </c>
      <c r="B32" s="37" t="s">
        <v>2349</v>
      </c>
      <c r="C32" s="37" t="s">
        <v>34</v>
      </c>
      <c r="D32" s="37" t="s">
        <v>35</v>
      </c>
      <c r="E32" s="37">
        <v>8</v>
      </c>
      <c r="F32" s="37" t="s">
        <v>756</v>
      </c>
      <c r="G32" s="37" t="s">
        <v>599</v>
      </c>
      <c r="H32" s="153">
        <v>35</v>
      </c>
      <c r="I32" s="37" t="s">
        <v>20</v>
      </c>
      <c r="J32" s="37" t="s">
        <v>492</v>
      </c>
      <c r="K32" s="37" t="s">
        <v>2308</v>
      </c>
      <c r="L32" s="37" t="s">
        <v>20</v>
      </c>
    </row>
    <row r="33" spans="1:12" ht="30">
      <c r="A33" s="37">
        <v>32</v>
      </c>
      <c r="B33" s="37" t="s">
        <v>2350</v>
      </c>
      <c r="C33" s="37" t="s">
        <v>34</v>
      </c>
      <c r="D33" s="37" t="s">
        <v>35</v>
      </c>
      <c r="E33" s="37">
        <v>23</v>
      </c>
      <c r="F33" s="37" t="s">
        <v>756</v>
      </c>
      <c r="G33" s="37" t="s">
        <v>599</v>
      </c>
      <c r="H33" s="153">
        <v>127</v>
      </c>
      <c r="I33" s="37" t="s">
        <v>20</v>
      </c>
      <c r="J33" s="37" t="s">
        <v>492</v>
      </c>
      <c r="K33" s="37" t="s">
        <v>2308</v>
      </c>
      <c r="L33" s="37" t="s">
        <v>20</v>
      </c>
    </row>
    <row r="34" spans="1:12" ht="30">
      <c r="A34" s="37">
        <v>33</v>
      </c>
      <c r="B34" s="37" t="s">
        <v>2351</v>
      </c>
      <c r="C34" s="37" t="s">
        <v>34</v>
      </c>
      <c r="D34" s="37" t="s">
        <v>35</v>
      </c>
      <c r="E34" s="37">
        <v>11</v>
      </c>
      <c r="F34" s="37" t="s">
        <v>756</v>
      </c>
      <c r="G34" s="37" t="s">
        <v>599</v>
      </c>
      <c r="H34" s="153">
        <v>44</v>
      </c>
      <c r="I34" s="37" t="s">
        <v>20</v>
      </c>
      <c r="J34" s="37" t="s">
        <v>492</v>
      </c>
      <c r="K34" s="37" t="s">
        <v>2308</v>
      </c>
      <c r="L34" s="37" t="s">
        <v>20</v>
      </c>
    </row>
    <row r="35" spans="1:12" ht="30">
      <c r="A35" s="37">
        <v>34</v>
      </c>
      <c r="B35" s="37" t="s">
        <v>2352</v>
      </c>
      <c r="C35" s="37" t="s">
        <v>34</v>
      </c>
      <c r="D35" s="37" t="s">
        <v>35</v>
      </c>
      <c r="E35" s="37">
        <v>10</v>
      </c>
      <c r="F35" s="37" t="s">
        <v>756</v>
      </c>
      <c r="G35" s="37" t="s">
        <v>599</v>
      </c>
      <c r="H35" s="153">
        <v>250</v>
      </c>
      <c r="I35" s="37" t="s">
        <v>20</v>
      </c>
      <c r="J35" s="37" t="s">
        <v>492</v>
      </c>
      <c r="K35" s="37" t="s">
        <v>2308</v>
      </c>
      <c r="L35" s="37" t="s">
        <v>20</v>
      </c>
    </row>
    <row r="36" spans="1:12" ht="30">
      <c r="A36" s="37">
        <v>35</v>
      </c>
      <c r="B36" s="37" t="s">
        <v>2353</v>
      </c>
      <c r="C36" s="37" t="s">
        <v>34</v>
      </c>
      <c r="D36" s="37" t="s">
        <v>35</v>
      </c>
      <c r="E36" s="37">
        <v>40</v>
      </c>
      <c r="F36" s="37" t="s">
        <v>2337</v>
      </c>
      <c r="G36" s="37" t="s">
        <v>599</v>
      </c>
      <c r="H36" s="153">
        <v>950</v>
      </c>
      <c r="I36" s="37" t="s">
        <v>20</v>
      </c>
      <c r="J36" s="37" t="s">
        <v>415</v>
      </c>
      <c r="K36" s="37" t="s">
        <v>2308</v>
      </c>
      <c r="L36" s="37" t="s">
        <v>20</v>
      </c>
    </row>
    <row r="37" spans="1:12" ht="30">
      <c r="A37" s="37">
        <v>36</v>
      </c>
      <c r="B37" s="37" t="s">
        <v>707</v>
      </c>
      <c r="C37" s="37" t="s">
        <v>34</v>
      </c>
      <c r="D37" s="37" t="s">
        <v>35</v>
      </c>
      <c r="E37" s="37">
        <v>22</v>
      </c>
      <c r="F37" s="37" t="s">
        <v>2337</v>
      </c>
      <c r="G37" s="37" t="s">
        <v>599</v>
      </c>
      <c r="H37" s="153">
        <v>600</v>
      </c>
      <c r="I37" s="37" t="s">
        <v>20</v>
      </c>
      <c r="J37" s="37" t="s">
        <v>415</v>
      </c>
      <c r="K37" s="37" t="s">
        <v>2308</v>
      </c>
      <c r="L37" s="37" t="s">
        <v>20</v>
      </c>
    </row>
    <row r="38" spans="1:12" ht="30">
      <c r="A38" s="37">
        <v>37</v>
      </c>
      <c r="B38" s="37" t="s">
        <v>2354</v>
      </c>
      <c r="C38" s="37" t="s">
        <v>34</v>
      </c>
      <c r="D38" s="37" t="s">
        <v>168</v>
      </c>
      <c r="E38" s="37">
        <v>3</v>
      </c>
      <c r="F38" s="37" t="s">
        <v>756</v>
      </c>
      <c r="G38" s="37" t="s">
        <v>599</v>
      </c>
      <c r="H38" s="152">
        <v>500</v>
      </c>
      <c r="I38" s="37" t="s">
        <v>20</v>
      </c>
      <c r="J38" s="37" t="s">
        <v>415</v>
      </c>
      <c r="K38" s="37" t="s">
        <v>2308</v>
      </c>
      <c r="L38" s="37" t="s">
        <v>20</v>
      </c>
    </row>
    <row r="39" spans="1:12" ht="30">
      <c r="A39" s="37">
        <v>38</v>
      </c>
      <c r="B39" s="37" t="s">
        <v>2177</v>
      </c>
      <c r="C39" s="37" t="s">
        <v>34</v>
      </c>
      <c r="D39" s="37" t="s">
        <v>35</v>
      </c>
      <c r="E39" s="37">
        <v>15</v>
      </c>
      <c r="F39" s="37" t="s">
        <v>756</v>
      </c>
      <c r="G39" s="37" t="s">
        <v>599</v>
      </c>
      <c r="H39" s="153">
        <v>300</v>
      </c>
      <c r="I39" s="37" t="s">
        <v>20</v>
      </c>
      <c r="J39" s="37" t="s">
        <v>415</v>
      </c>
      <c r="K39" s="37" t="s">
        <v>2308</v>
      </c>
      <c r="L39" s="37" t="s">
        <v>20</v>
      </c>
    </row>
    <row r="40" spans="1:12" ht="30">
      <c r="A40" s="37">
        <v>39</v>
      </c>
      <c r="B40" s="37" t="s">
        <v>2355</v>
      </c>
      <c r="C40" s="37" t="s">
        <v>34</v>
      </c>
      <c r="D40" s="37" t="s">
        <v>168</v>
      </c>
      <c r="E40" s="37">
        <v>4</v>
      </c>
      <c r="F40" s="37" t="s">
        <v>756</v>
      </c>
      <c r="G40" s="37" t="s">
        <v>599</v>
      </c>
      <c r="H40" s="152">
        <v>1200</v>
      </c>
      <c r="I40" s="37" t="s">
        <v>20</v>
      </c>
      <c r="J40" s="37" t="s">
        <v>415</v>
      </c>
      <c r="K40" s="37" t="s">
        <v>2308</v>
      </c>
      <c r="L40" s="37" t="s">
        <v>20</v>
      </c>
    </row>
    <row r="41" spans="1:12" ht="30">
      <c r="A41" s="37">
        <v>40</v>
      </c>
      <c r="B41" s="37" t="s">
        <v>2356</v>
      </c>
      <c r="C41" s="37" t="s">
        <v>34</v>
      </c>
      <c r="D41" s="37" t="s">
        <v>35</v>
      </c>
      <c r="E41" s="37">
        <v>44</v>
      </c>
      <c r="F41" s="37" t="s">
        <v>756</v>
      </c>
      <c r="G41" s="37" t="s">
        <v>599</v>
      </c>
      <c r="H41" s="153">
        <v>88</v>
      </c>
      <c r="I41" s="37" t="s">
        <v>20</v>
      </c>
      <c r="J41" s="37" t="s">
        <v>492</v>
      </c>
      <c r="K41" s="37" t="s">
        <v>2308</v>
      </c>
      <c r="L41" s="37" t="s">
        <v>20</v>
      </c>
    </row>
    <row r="42" spans="1:12" ht="30">
      <c r="A42" s="37">
        <v>41</v>
      </c>
      <c r="B42" s="37" t="s">
        <v>2357</v>
      </c>
      <c r="C42" s="37" t="s">
        <v>34</v>
      </c>
      <c r="D42" s="37" t="s">
        <v>168</v>
      </c>
      <c r="E42" s="37">
        <v>8</v>
      </c>
      <c r="F42" s="37" t="s">
        <v>756</v>
      </c>
      <c r="G42" s="37" t="s">
        <v>227</v>
      </c>
      <c r="H42" s="152">
        <v>250</v>
      </c>
      <c r="I42" s="37" t="s">
        <v>20</v>
      </c>
      <c r="J42" s="37" t="s">
        <v>415</v>
      </c>
      <c r="K42" s="37" t="s">
        <v>2308</v>
      </c>
      <c r="L42" s="37" t="s">
        <v>20</v>
      </c>
    </row>
    <row r="43" spans="1:12" ht="30">
      <c r="A43" s="37">
        <v>42</v>
      </c>
      <c r="B43" s="37" t="s">
        <v>2358</v>
      </c>
      <c r="C43" s="37" t="s">
        <v>34</v>
      </c>
      <c r="D43" s="37" t="s">
        <v>168</v>
      </c>
      <c r="E43" s="37">
        <v>10</v>
      </c>
      <c r="F43" s="37" t="s">
        <v>756</v>
      </c>
      <c r="G43" s="37" t="s">
        <v>599</v>
      </c>
      <c r="H43" s="153">
        <v>30</v>
      </c>
      <c r="I43" s="37" t="s">
        <v>20</v>
      </c>
      <c r="J43" s="37" t="s">
        <v>492</v>
      </c>
      <c r="K43" s="37" t="s">
        <v>2308</v>
      </c>
      <c r="L43" s="37" t="s">
        <v>20</v>
      </c>
    </row>
    <row r="44" spans="1:12" ht="30">
      <c r="A44" s="37">
        <v>43</v>
      </c>
      <c r="B44" s="37" t="s">
        <v>2359</v>
      </c>
      <c r="C44" s="37" t="s">
        <v>34</v>
      </c>
      <c r="D44" s="37" t="s">
        <v>35</v>
      </c>
      <c r="E44" s="37">
        <v>250</v>
      </c>
      <c r="F44" s="37" t="s">
        <v>765</v>
      </c>
      <c r="G44" s="37" t="s">
        <v>599</v>
      </c>
      <c r="H44" s="153">
        <v>8800</v>
      </c>
      <c r="I44" s="37" t="s">
        <v>20</v>
      </c>
      <c r="J44" s="37" t="s">
        <v>415</v>
      </c>
      <c r="K44" s="37" t="s">
        <v>2308</v>
      </c>
      <c r="L44" s="37" t="s">
        <v>20</v>
      </c>
    </row>
    <row r="45" spans="1:12" ht="30">
      <c r="A45" s="37">
        <v>44</v>
      </c>
      <c r="B45" s="37" t="s">
        <v>2360</v>
      </c>
      <c r="C45" s="37" t="s">
        <v>34</v>
      </c>
      <c r="D45" s="37" t="s">
        <v>35</v>
      </c>
      <c r="E45" s="37">
        <v>6</v>
      </c>
      <c r="F45" s="37" t="s">
        <v>756</v>
      </c>
      <c r="G45" s="37" t="s">
        <v>599</v>
      </c>
      <c r="H45" s="153">
        <v>240</v>
      </c>
      <c r="I45" s="37" t="s">
        <v>20</v>
      </c>
      <c r="J45" s="37" t="s">
        <v>492</v>
      </c>
      <c r="K45" s="37" t="s">
        <v>2308</v>
      </c>
      <c r="L45" s="37" t="s">
        <v>20</v>
      </c>
    </row>
    <row r="46" spans="1:12" ht="30">
      <c r="A46" s="37">
        <v>45</v>
      </c>
      <c r="B46" s="37" t="s">
        <v>2361</v>
      </c>
      <c r="C46" s="37" t="s">
        <v>34</v>
      </c>
      <c r="D46" s="37" t="s">
        <v>35</v>
      </c>
      <c r="E46" s="37">
        <v>10</v>
      </c>
      <c r="F46" s="37" t="s">
        <v>756</v>
      </c>
      <c r="G46" s="37" t="s">
        <v>599</v>
      </c>
      <c r="H46" s="153">
        <v>400</v>
      </c>
      <c r="I46" s="37" t="s">
        <v>20</v>
      </c>
      <c r="J46" s="37" t="s">
        <v>492</v>
      </c>
      <c r="K46" s="37" t="s">
        <v>2308</v>
      </c>
      <c r="L46" s="37" t="s">
        <v>20</v>
      </c>
    </row>
    <row r="47" spans="1:12" ht="30">
      <c r="A47" s="37">
        <v>46</v>
      </c>
      <c r="B47" s="37" t="s">
        <v>2362</v>
      </c>
      <c r="C47" s="37" t="s">
        <v>34</v>
      </c>
      <c r="D47" s="37" t="s">
        <v>168</v>
      </c>
      <c r="E47" s="37">
        <v>2</v>
      </c>
      <c r="F47" s="37" t="s">
        <v>756</v>
      </c>
      <c r="G47" s="37" t="s">
        <v>227</v>
      </c>
      <c r="H47" s="152">
        <v>1500</v>
      </c>
      <c r="I47" s="37" t="s">
        <v>20</v>
      </c>
      <c r="J47" s="37" t="s">
        <v>415</v>
      </c>
      <c r="K47" s="37" t="s">
        <v>2308</v>
      </c>
      <c r="L47" s="37" t="s">
        <v>20</v>
      </c>
    </row>
    <row r="48" spans="1:12" ht="30">
      <c r="A48" s="37">
        <v>47</v>
      </c>
      <c r="B48" s="37" t="s">
        <v>2363</v>
      </c>
      <c r="C48" s="37" t="s">
        <v>25</v>
      </c>
      <c r="D48" s="37" t="s">
        <v>35</v>
      </c>
      <c r="E48" s="37" t="s">
        <v>2364</v>
      </c>
      <c r="F48" s="37" t="s">
        <v>756</v>
      </c>
      <c r="G48" s="37" t="s">
        <v>599</v>
      </c>
      <c r="H48" s="152">
        <v>25000</v>
      </c>
      <c r="I48" s="37" t="s">
        <v>20</v>
      </c>
      <c r="J48" s="37" t="s">
        <v>415</v>
      </c>
      <c r="K48" s="37"/>
      <c r="L48" s="37" t="s">
        <v>391</v>
      </c>
    </row>
    <row r="49" spans="1:12" ht="30">
      <c r="A49" s="37">
        <v>48</v>
      </c>
      <c r="B49" s="37" t="s">
        <v>2365</v>
      </c>
      <c r="C49" s="37" t="s">
        <v>25</v>
      </c>
      <c r="D49" s="37" t="s">
        <v>35</v>
      </c>
      <c r="E49" s="37" t="s">
        <v>2364</v>
      </c>
      <c r="F49" s="37" t="s">
        <v>756</v>
      </c>
      <c r="G49" s="37" t="s">
        <v>599</v>
      </c>
      <c r="H49" s="152">
        <v>50000</v>
      </c>
      <c r="I49" s="37" t="s">
        <v>20</v>
      </c>
      <c r="J49" s="37" t="s">
        <v>415</v>
      </c>
      <c r="K49" s="3"/>
      <c r="L49" s="37" t="s">
        <v>391</v>
      </c>
    </row>
    <row r="50" spans="1:12" ht="30">
      <c r="A50" s="37">
        <v>49</v>
      </c>
      <c r="B50" s="37" t="s">
        <v>2366</v>
      </c>
      <c r="C50" s="37" t="s">
        <v>25</v>
      </c>
      <c r="D50" s="37" t="s">
        <v>35</v>
      </c>
      <c r="E50" s="37" t="s">
        <v>2364</v>
      </c>
      <c r="F50" s="37" t="s">
        <v>756</v>
      </c>
      <c r="G50" s="37" t="s">
        <v>227</v>
      </c>
      <c r="H50" s="153">
        <v>1500</v>
      </c>
      <c r="I50" s="37" t="s">
        <v>20</v>
      </c>
      <c r="J50" s="37" t="s">
        <v>415</v>
      </c>
      <c r="K50" s="3"/>
      <c r="L50" s="37" t="s">
        <v>391</v>
      </c>
    </row>
    <row r="51" spans="1:12" ht="30">
      <c r="A51" s="37">
        <v>50</v>
      </c>
      <c r="B51" s="37" t="s">
        <v>2367</v>
      </c>
      <c r="C51" s="37" t="s">
        <v>25</v>
      </c>
      <c r="D51" s="37" t="s">
        <v>35</v>
      </c>
      <c r="E51" s="37" t="s">
        <v>2364</v>
      </c>
      <c r="F51" s="37" t="s">
        <v>756</v>
      </c>
      <c r="G51" s="37" t="s">
        <v>227</v>
      </c>
      <c r="H51" s="153">
        <v>1000</v>
      </c>
      <c r="I51" s="37" t="s">
        <v>20</v>
      </c>
      <c r="J51" s="37" t="s">
        <v>415</v>
      </c>
      <c r="K51" s="3"/>
      <c r="L51" s="37" t="s">
        <v>391</v>
      </c>
    </row>
    <row r="52" spans="1:12" ht="45">
      <c r="A52" s="37">
        <v>51</v>
      </c>
      <c r="B52" s="37" t="s">
        <v>2368</v>
      </c>
      <c r="C52" s="37" t="s">
        <v>25</v>
      </c>
      <c r="D52" s="37" t="s">
        <v>35</v>
      </c>
      <c r="E52" s="37" t="s">
        <v>2369</v>
      </c>
      <c r="F52" s="37" t="s">
        <v>756</v>
      </c>
      <c r="G52" s="37" t="s">
        <v>599</v>
      </c>
      <c r="H52" s="153">
        <v>20000</v>
      </c>
      <c r="I52" s="37" t="s">
        <v>20</v>
      </c>
      <c r="J52" s="37" t="s">
        <v>415</v>
      </c>
      <c r="K52" s="3"/>
      <c r="L52" s="37" t="s">
        <v>391</v>
      </c>
    </row>
    <row r="53" spans="1:12" ht="30">
      <c r="A53" s="37">
        <v>52</v>
      </c>
      <c r="B53" s="37" t="s">
        <v>583</v>
      </c>
      <c r="C53" s="3"/>
      <c r="D53" s="37" t="s">
        <v>35</v>
      </c>
      <c r="E53" s="37">
        <v>250</v>
      </c>
      <c r="F53" s="37" t="s">
        <v>2370</v>
      </c>
      <c r="G53" s="37" t="s">
        <v>599</v>
      </c>
      <c r="H53" s="153">
        <v>3750</v>
      </c>
      <c r="I53" s="37" t="s">
        <v>20</v>
      </c>
      <c r="J53" s="37" t="s">
        <v>415</v>
      </c>
      <c r="K53" s="37" t="s">
        <v>2308</v>
      </c>
      <c r="L53" s="37" t="s">
        <v>20</v>
      </c>
    </row>
    <row r="54" spans="1:12" ht="30">
      <c r="A54" s="37">
        <v>53</v>
      </c>
      <c r="B54" s="37" t="s">
        <v>2371</v>
      </c>
      <c r="C54" s="37" t="s">
        <v>34</v>
      </c>
      <c r="D54" s="37" t="s">
        <v>35</v>
      </c>
      <c r="E54" s="37">
        <v>30</v>
      </c>
      <c r="F54" s="37" t="s">
        <v>8</v>
      </c>
      <c r="G54" s="37" t="s">
        <v>599</v>
      </c>
      <c r="H54" s="153">
        <v>45</v>
      </c>
      <c r="I54" s="37" t="s">
        <v>20</v>
      </c>
      <c r="J54" s="37" t="s">
        <v>415</v>
      </c>
      <c r="K54" s="37" t="s">
        <v>2308</v>
      </c>
      <c r="L54" s="37" t="s">
        <v>20</v>
      </c>
    </row>
    <row r="55" spans="1:12" ht="30">
      <c r="A55" s="37">
        <v>54</v>
      </c>
      <c r="B55" s="37" t="s">
        <v>2372</v>
      </c>
      <c r="C55" s="37" t="s">
        <v>34</v>
      </c>
      <c r="D55" s="37" t="s">
        <v>35</v>
      </c>
      <c r="E55" s="37">
        <v>5</v>
      </c>
      <c r="F55" s="37" t="s">
        <v>8</v>
      </c>
      <c r="G55" s="37" t="s">
        <v>599</v>
      </c>
      <c r="H55" s="153">
        <v>85</v>
      </c>
      <c r="I55" s="37" t="s">
        <v>20</v>
      </c>
      <c r="J55" s="37" t="s">
        <v>415</v>
      </c>
      <c r="K55" s="37" t="s">
        <v>2308</v>
      </c>
      <c r="L55" s="37" t="s">
        <v>20</v>
      </c>
    </row>
    <row r="56" spans="1:12" ht="30">
      <c r="A56" s="37">
        <v>55</v>
      </c>
      <c r="B56" s="37" t="s">
        <v>2373</v>
      </c>
      <c r="C56" s="37" t="s">
        <v>34</v>
      </c>
      <c r="D56" s="37" t="s">
        <v>35</v>
      </c>
      <c r="E56" s="37">
        <v>4</v>
      </c>
      <c r="F56" s="37" t="s">
        <v>8</v>
      </c>
      <c r="G56" s="37" t="s">
        <v>599</v>
      </c>
      <c r="H56" s="153">
        <v>60</v>
      </c>
      <c r="I56" s="37" t="s">
        <v>20</v>
      </c>
      <c r="J56" s="37" t="s">
        <v>415</v>
      </c>
      <c r="K56" s="37" t="s">
        <v>2308</v>
      </c>
      <c r="L56" s="37" t="s">
        <v>20</v>
      </c>
    </row>
    <row r="57" spans="1:12" ht="45">
      <c r="A57" s="37">
        <v>56</v>
      </c>
      <c r="B57" s="37" t="s">
        <v>2374</v>
      </c>
      <c r="C57" s="37" t="s">
        <v>34</v>
      </c>
      <c r="D57" s="37" t="s">
        <v>35</v>
      </c>
      <c r="E57" s="37">
        <v>500</v>
      </c>
      <c r="F57" s="37" t="s">
        <v>8</v>
      </c>
      <c r="G57" s="37" t="s">
        <v>599</v>
      </c>
      <c r="H57" s="153">
        <v>55</v>
      </c>
      <c r="I57" s="37" t="s">
        <v>20</v>
      </c>
      <c r="J57" s="37" t="s">
        <v>415</v>
      </c>
      <c r="K57" s="37" t="s">
        <v>2308</v>
      </c>
      <c r="L57" s="37" t="s">
        <v>2346</v>
      </c>
    </row>
    <row r="58" spans="1:12" ht="30">
      <c r="A58" s="37">
        <v>57</v>
      </c>
      <c r="B58" s="37" t="s">
        <v>2375</v>
      </c>
      <c r="C58" s="37" t="s">
        <v>34</v>
      </c>
      <c r="D58" s="37" t="s">
        <v>35</v>
      </c>
      <c r="E58" s="37">
        <v>10</v>
      </c>
      <c r="F58" s="37" t="s">
        <v>8</v>
      </c>
      <c r="G58" s="37" t="s">
        <v>599</v>
      </c>
      <c r="H58" s="153">
        <v>70</v>
      </c>
      <c r="I58" s="37" t="s">
        <v>20</v>
      </c>
      <c r="J58" s="37" t="s">
        <v>415</v>
      </c>
      <c r="K58" s="37" t="s">
        <v>2308</v>
      </c>
      <c r="L58" s="37" t="s">
        <v>20</v>
      </c>
    </row>
    <row r="59" spans="1:12" ht="30">
      <c r="A59" s="37">
        <v>58</v>
      </c>
      <c r="B59" s="37" t="s">
        <v>2376</v>
      </c>
      <c r="C59" s="37" t="s">
        <v>34</v>
      </c>
      <c r="D59" s="37" t="s">
        <v>35</v>
      </c>
      <c r="E59" s="37">
        <v>25</v>
      </c>
      <c r="F59" s="37" t="s">
        <v>2164</v>
      </c>
      <c r="G59" s="37" t="s">
        <v>599</v>
      </c>
      <c r="H59" s="153">
        <v>300</v>
      </c>
      <c r="I59" s="37" t="s">
        <v>20</v>
      </c>
      <c r="J59" s="37" t="s">
        <v>415</v>
      </c>
      <c r="K59" s="37" t="s">
        <v>2308</v>
      </c>
      <c r="L59" s="37" t="s">
        <v>20</v>
      </c>
    </row>
    <row r="60" spans="1:12" ht="30">
      <c r="A60" s="37">
        <v>59</v>
      </c>
      <c r="B60" s="37" t="s">
        <v>2377</v>
      </c>
      <c r="C60" s="37" t="s">
        <v>34</v>
      </c>
      <c r="D60" s="37" t="s">
        <v>35</v>
      </c>
      <c r="E60" s="37">
        <v>35</v>
      </c>
      <c r="F60" s="37" t="s">
        <v>2378</v>
      </c>
      <c r="G60" s="37" t="s">
        <v>599</v>
      </c>
      <c r="H60" s="153">
        <v>560</v>
      </c>
      <c r="I60" s="37" t="s">
        <v>20</v>
      </c>
      <c r="J60" s="37" t="s">
        <v>415</v>
      </c>
      <c r="K60" s="37" t="s">
        <v>2308</v>
      </c>
      <c r="L60" s="37" t="s">
        <v>20</v>
      </c>
    </row>
    <row r="61" spans="1:12" ht="30">
      <c r="A61" s="37">
        <v>60</v>
      </c>
      <c r="B61" s="37" t="s">
        <v>2379</v>
      </c>
      <c r="C61" s="37" t="s">
        <v>34</v>
      </c>
      <c r="D61" s="37" t="s">
        <v>35</v>
      </c>
      <c r="E61" s="37">
        <v>6</v>
      </c>
      <c r="F61" s="37" t="s">
        <v>2378</v>
      </c>
      <c r="G61" s="37" t="s">
        <v>419</v>
      </c>
      <c r="H61" s="153">
        <v>60</v>
      </c>
      <c r="I61" s="37" t="s">
        <v>20</v>
      </c>
      <c r="J61" s="37" t="s">
        <v>415</v>
      </c>
      <c r="K61" s="37" t="s">
        <v>2308</v>
      </c>
      <c r="L61" s="37" t="s">
        <v>20</v>
      </c>
    </row>
    <row r="62" spans="1:12" ht="30">
      <c r="A62" s="37">
        <v>61</v>
      </c>
      <c r="B62" s="37" t="s">
        <v>2380</v>
      </c>
      <c r="C62" s="37" t="s">
        <v>34</v>
      </c>
      <c r="D62" s="37" t="s">
        <v>35</v>
      </c>
      <c r="E62" s="37">
        <v>12</v>
      </c>
      <c r="F62" s="37" t="s">
        <v>8</v>
      </c>
      <c r="G62" s="37" t="s">
        <v>599</v>
      </c>
      <c r="H62" s="153">
        <v>60</v>
      </c>
      <c r="I62" s="37" t="s">
        <v>20</v>
      </c>
      <c r="J62" s="37" t="s">
        <v>415</v>
      </c>
      <c r="K62" s="37" t="s">
        <v>2308</v>
      </c>
      <c r="L62" s="37" t="s">
        <v>20</v>
      </c>
    </row>
    <row r="63" spans="1:12" ht="30">
      <c r="A63" s="37">
        <v>62</v>
      </c>
      <c r="B63" s="37" t="s">
        <v>2381</v>
      </c>
      <c r="C63" s="37" t="s">
        <v>34</v>
      </c>
      <c r="D63" s="37" t="s">
        <v>35</v>
      </c>
      <c r="E63" s="37">
        <v>200</v>
      </c>
      <c r="F63" s="37" t="s">
        <v>756</v>
      </c>
      <c r="G63" s="37" t="s">
        <v>599</v>
      </c>
      <c r="H63" s="153">
        <v>120</v>
      </c>
      <c r="I63" s="37" t="s">
        <v>20</v>
      </c>
      <c r="J63" s="37" t="s">
        <v>415</v>
      </c>
      <c r="K63" s="37" t="s">
        <v>2308</v>
      </c>
      <c r="L63" s="37" t="s">
        <v>20</v>
      </c>
    </row>
    <row r="64" spans="1:12" ht="30">
      <c r="A64" s="37">
        <v>63</v>
      </c>
      <c r="B64" s="37" t="s">
        <v>2382</v>
      </c>
      <c r="C64" s="37" t="s">
        <v>34</v>
      </c>
      <c r="D64" s="37" t="s">
        <v>35</v>
      </c>
      <c r="E64" s="37">
        <v>6</v>
      </c>
      <c r="F64" s="37" t="s">
        <v>2370</v>
      </c>
      <c r="G64" s="37" t="s">
        <v>419</v>
      </c>
      <c r="H64" s="153">
        <v>50</v>
      </c>
      <c r="I64" s="37" t="s">
        <v>20</v>
      </c>
      <c r="J64" s="37" t="s">
        <v>415</v>
      </c>
      <c r="K64" s="37" t="s">
        <v>2308</v>
      </c>
      <c r="L64" s="37" t="s">
        <v>20</v>
      </c>
    </row>
    <row r="65" spans="1:12" ht="30">
      <c r="A65" s="37">
        <v>64</v>
      </c>
      <c r="B65" s="37" t="s">
        <v>2383</v>
      </c>
      <c r="C65" s="37" t="s">
        <v>34</v>
      </c>
      <c r="D65" s="37" t="s">
        <v>35</v>
      </c>
      <c r="E65" s="37">
        <v>6</v>
      </c>
      <c r="F65" s="37" t="s">
        <v>756</v>
      </c>
      <c r="G65" s="37" t="s">
        <v>419</v>
      </c>
      <c r="H65" s="153">
        <v>30</v>
      </c>
      <c r="I65" s="37" t="s">
        <v>20</v>
      </c>
      <c r="J65" s="37" t="s">
        <v>415</v>
      </c>
      <c r="K65" s="37" t="s">
        <v>2308</v>
      </c>
      <c r="L65" s="37" t="s">
        <v>20</v>
      </c>
    </row>
    <row r="66" spans="1:12" ht="30">
      <c r="A66" s="37">
        <v>65</v>
      </c>
      <c r="B66" s="37" t="s">
        <v>2384</v>
      </c>
      <c r="C66" s="37" t="s">
        <v>34</v>
      </c>
      <c r="D66" s="37" t="s">
        <v>35</v>
      </c>
      <c r="E66" s="37">
        <v>2</v>
      </c>
      <c r="F66" s="37" t="s">
        <v>756</v>
      </c>
      <c r="G66" s="37" t="s">
        <v>419</v>
      </c>
      <c r="H66" s="153">
        <v>70</v>
      </c>
      <c r="I66" s="37" t="s">
        <v>20</v>
      </c>
      <c r="J66" s="37" t="s">
        <v>415</v>
      </c>
      <c r="K66" s="37" t="s">
        <v>2308</v>
      </c>
      <c r="L66" s="37" t="s">
        <v>20</v>
      </c>
    </row>
    <row r="67" spans="1:12" ht="30">
      <c r="A67" s="37">
        <v>66</v>
      </c>
      <c r="B67" s="37" t="s">
        <v>2385</v>
      </c>
      <c r="C67" s="37" t="s">
        <v>34</v>
      </c>
      <c r="D67" s="37" t="s">
        <v>35</v>
      </c>
      <c r="E67" s="37">
        <v>2</v>
      </c>
      <c r="F67" s="37" t="s">
        <v>756</v>
      </c>
      <c r="G67" s="37" t="s">
        <v>419</v>
      </c>
      <c r="H67" s="153">
        <v>50</v>
      </c>
      <c r="I67" s="37" t="s">
        <v>20</v>
      </c>
      <c r="J67" s="37" t="s">
        <v>415</v>
      </c>
      <c r="K67" s="37" t="s">
        <v>2308</v>
      </c>
      <c r="L67" s="37" t="s">
        <v>20</v>
      </c>
    </row>
    <row r="68" spans="1:12" ht="30">
      <c r="A68" s="37">
        <v>67</v>
      </c>
      <c r="B68" s="37" t="s">
        <v>2386</v>
      </c>
      <c r="C68" s="37" t="s">
        <v>34</v>
      </c>
      <c r="D68" s="37" t="s">
        <v>35</v>
      </c>
      <c r="E68" s="37">
        <v>2</v>
      </c>
      <c r="F68" s="37" t="s">
        <v>2343</v>
      </c>
      <c r="G68" s="37" t="s">
        <v>419</v>
      </c>
      <c r="H68" s="153">
        <v>60</v>
      </c>
      <c r="I68" s="37" t="s">
        <v>20</v>
      </c>
      <c r="J68" s="37" t="s">
        <v>415</v>
      </c>
      <c r="K68" s="37" t="s">
        <v>2308</v>
      </c>
      <c r="L68" s="37" t="s">
        <v>20</v>
      </c>
    </row>
    <row r="69" spans="1:12" ht="30">
      <c r="A69" s="37">
        <v>68</v>
      </c>
      <c r="B69" s="37" t="s">
        <v>748</v>
      </c>
      <c r="C69" s="37" t="s">
        <v>34</v>
      </c>
      <c r="D69" s="37" t="s">
        <v>35</v>
      </c>
      <c r="E69" s="37">
        <v>2220</v>
      </c>
      <c r="F69" s="37" t="s">
        <v>2387</v>
      </c>
      <c r="G69" s="37" t="s">
        <v>2074</v>
      </c>
      <c r="H69" s="153">
        <v>14000</v>
      </c>
      <c r="I69" s="37" t="s">
        <v>20</v>
      </c>
      <c r="J69" s="37" t="s">
        <v>415</v>
      </c>
      <c r="K69" s="37" t="s">
        <v>2308</v>
      </c>
      <c r="L69" s="37" t="s">
        <v>20</v>
      </c>
    </row>
    <row r="70" spans="1:12" ht="30">
      <c r="A70" s="37">
        <v>69</v>
      </c>
      <c r="B70" s="37" t="s">
        <v>2388</v>
      </c>
      <c r="C70" s="37" t="s">
        <v>34</v>
      </c>
      <c r="D70" s="37" t="s">
        <v>168</v>
      </c>
      <c r="E70" s="37">
        <v>3</v>
      </c>
      <c r="F70" s="37" t="s">
        <v>756</v>
      </c>
      <c r="G70" s="37" t="s">
        <v>599</v>
      </c>
      <c r="H70" s="153">
        <v>20000</v>
      </c>
      <c r="I70" s="37" t="s">
        <v>20</v>
      </c>
      <c r="J70" s="37" t="s">
        <v>415</v>
      </c>
      <c r="K70" s="37" t="s">
        <v>2308</v>
      </c>
      <c r="L70" s="37" t="s">
        <v>20</v>
      </c>
    </row>
  </sheetData>
  <pageMargins left="0.511811024" right="0.511811024" top="0.78740157499999996" bottom="0.78740157499999996" header="0.31496062000000002" footer="0.3149606200000000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8C918-6EE7-45C2-9351-6C6824BF8254}">
  <dimension ref="A1:M69"/>
  <sheetViews>
    <sheetView topLeftCell="A28" workbookViewId="0">
      <selection activeCell="P3" sqref="P3"/>
    </sheetView>
  </sheetViews>
  <sheetFormatPr defaultRowHeight="15"/>
  <cols>
    <col min="1" max="1" width="16" customWidth="1"/>
    <col min="2" max="2" width="19" customWidth="1"/>
    <col min="8" max="8" width="17.5703125" customWidth="1"/>
    <col min="11" max="11" width="34.5703125" customWidth="1"/>
  </cols>
  <sheetData>
    <row r="1" spans="1:13" ht="51">
      <c r="A1" s="155" t="s">
        <v>0</v>
      </c>
      <c r="B1" s="155" t="s">
        <v>409</v>
      </c>
      <c r="C1" s="155" t="s">
        <v>410</v>
      </c>
      <c r="D1" s="155" t="s">
        <v>1</v>
      </c>
      <c r="E1" s="155" t="s">
        <v>2389</v>
      </c>
      <c r="F1" s="155" t="s">
        <v>8</v>
      </c>
      <c r="G1" s="155" t="s">
        <v>412</v>
      </c>
      <c r="H1" s="155" t="s">
        <v>2390</v>
      </c>
      <c r="I1" s="155" t="s">
        <v>2391</v>
      </c>
      <c r="J1" s="155" t="s">
        <v>5</v>
      </c>
      <c r="K1" s="155" t="s">
        <v>413</v>
      </c>
      <c r="L1" s="155" t="s">
        <v>2392</v>
      </c>
      <c r="M1" s="155" t="s">
        <v>12</v>
      </c>
    </row>
    <row r="2" spans="1:13" ht="51">
      <c r="A2" s="156">
        <v>1</v>
      </c>
      <c r="B2" s="115" t="s">
        <v>2393</v>
      </c>
      <c r="C2" s="156" t="s">
        <v>34</v>
      </c>
      <c r="D2" s="156" t="s">
        <v>168</v>
      </c>
      <c r="E2" s="115">
        <v>3</v>
      </c>
      <c r="F2" s="135" t="s">
        <v>756</v>
      </c>
      <c r="G2" s="135" t="s">
        <v>227</v>
      </c>
      <c r="H2" s="157">
        <f>SUM(2000*3)</f>
        <v>6000</v>
      </c>
      <c r="I2" s="156" t="s">
        <v>20</v>
      </c>
      <c r="J2" s="156" t="s">
        <v>21</v>
      </c>
      <c r="K2" s="158">
        <v>45444</v>
      </c>
      <c r="L2" s="156" t="s">
        <v>20</v>
      </c>
      <c r="M2" s="135" t="s">
        <v>2394</v>
      </c>
    </row>
    <row r="3" spans="1:13" ht="51">
      <c r="A3" s="159" t="s">
        <v>2395</v>
      </c>
      <c r="B3" s="160" t="s">
        <v>2393</v>
      </c>
      <c r="C3" s="159" t="s">
        <v>34</v>
      </c>
      <c r="D3" s="159" t="s">
        <v>168</v>
      </c>
      <c r="E3" s="160">
        <v>25</v>
      </c>
      <c r="F3" s="161" t="s">
        <v>756</v>
      </c>
      <c r="G3" s="161" t="s">
        <v>227</v>
      </c>
      <c r="H3" s="162">
        <f>SUM(2000*25)</f>
        <v>50000</v>
      </c>
      <c r="I3" s="159" t="s">
        <v>20</v>
      </c>
      <c r="J3" s="159" t="s">
        <v>21</v>
      </c>
      <c r="K3" s="158">
        <v>45444</v>
      </c>
      <c r="L3" s="159" t="s">
        <v>20</v>
      </c>
      <c r="M3" s="161" t="s">
        <v>2394</v>
      </c>
    </row>
    <row r="4" spans="1:13" ht="51">
      <c r="A4" s="156">
        <v>2</v>
      </c>
      <c r="B4" s="115" t="s">
        <v>2396</v>
      </c>
      <c r="C4" s="156" t="s">
        <v>34</v>
      </c>
      <c r="D4" s="156" t="s">
        <v>168</v>
      </c>
      <c r="E4" s="115">
        <v>3</v>
      </c>
      <c r="F4" s="135" t="s">
        <v>756</v>
      </c>
      <c r="G4" s="135" t="s">
        <v>227</v>
      </c>
      <c r="H4" s="157">
        <f>SUM(500*3)</f>
        <v>1500</v>
      </c>
      <c r="I4" s="156" t="s">
        <v>20</v>
      </c>
      <c r="J4" s="156" t="s">
        <v>21</v>
      </c>
      <c r="K4" s="158">
        <v>45444</v>
      </c>
      <c r="L4" s="156" t="s">
        <v>20</v>
      </c>
      <c r="M4" s="135" t="s">
        <v>2394</v>
      </c>
    </row>
    <row r="5" spans="1:13" ht="51">
      <c r="A5" s="159" t="s">
        <v>2395</v>
      </c>
      <c r="B5" s="160" t="s">
        <v>2396</v>
      </c>
      <c r="C5" s="159" t="s">
        <v>34</v>
      </c>
      <c r="D5" s="159" t="s">
        <v>168</v>
      </c>
      <c r="E5" s="160">
        <v>25</v>
      </c>
      <c r="F5" s="161" t="s">
        <v>756</v>
      </c>
      <c r="G5" s="161" t="s">
        <v>227</v>
      </c>
      <c r="H5" s="162">
        <f>SUM(500*25)</f>
        <v>12500</v>
      </c>
      <c r="I5" s="159" t="s">
        <v>20</v>
      </c>
      <c r="J5" s="159" t="s">
        <v>21</v>
      </c>
      <c r="K5" s="158">
        <v>45444</v>
      </c>
      <c r="L5" s="159" t="s">
        <v>20</v>
      </c>
      <c r="M5" s="161" t="s">
        <v>2394</v>
      </c>
    </row>
    <row r="6" spans="1:13" ht="51">
      <c r="A6" s="156">
        <v>3</v>
      </c>
      <c r="B6" s="115" t="s">
        <v>2397</v>
      </c>
      <c r="C6" s="156" t="s">
        <v>34</v>
      </c>
      <c r="D6" s="156" t="s">
        <v>168</v>
      </c>
      <c r="E6" s="115">
        <v>3</v>
      </c>
      <c r="F6" s="135" t="s">
        <v>756</v>
      </c>
      <c r="G6" s="135" t="s">
        <v>227</v>
      </c>
      <c r="H6" s="157">
        <f>SUM(50*3)</f>
        <v>150</v>
      </c>
      <c r="I6" s="156" t="s">
        <v>20</v>
      </c>
      <c r="J6" s="156" t="s">
        <v>21</v>
      </c>
      <c r="K6" s="158">
        <v>45444</v>
      </c>
      <c r="L6" s="156" t="s">
        <v>20</v>
      </c>
      <c r="M6" s="135" t="s">
        <v>2394</v>
      </c>
    </row>
    <row r="7" spans="1:13" ht="51">
      <c r="A7" s="159" t="s">
        <v>2395</v>
      </c>
      <c r="B7" s="160" t="s">
        <v>2397</v>
      </c>
      <c r="C7" s="159" t="s">
        <v>34</v>
      </c>
      <c r="D7" s="159" t="s">
        <v>168</v>
      </c>
      <c r="E7" s="160">
        <v>25</v>
      </c>
      <c r="F7" s="161" t="s">
        <v>756</v>
      </c>
      <c r="G7" s="161" t="s">
        <v>227</v>
      </c>
      <c r="H7" s="162">
        <f>SUM(50*25)</f>
        <v>1250</v>
      </c>
      <c r="I7" s="159" t="s">
        <v>20</v>
      </c>
      <c r="J7" s="159" t="s">
        <v>21</v>
      </c>
      <c r="K7" s="158">
        <v>45444</v>
      </c>
      <c r="L7" s="159" t="s">
        <v>20</v>
      </c>
      <c r="M7" s="161" t="s">
        <v>2394</v>
      </c>
    </row>
    <row r="8" spans="1:13" ht="51">
      <c r="A8" s="156">
        <v>4</v>
      </c>
      <c r="B8" s="115" t="s">
        <v>2398</v>
      </c>
      <c r="C8" s="156" t="s">
        <v>34</v>
      </c>
      <c r="D8" s="156" t="s">
        <v>168</v>
      </c>
      <c r="E8" s="115">
        <v>3</v>
      </c>
      <c r="F8" s="135" t="s">
        <v>756</v>
      </c>
      <c r="G8" s="135" t="s">
        <v>227</v>
      </c>
      <c r="H8" s="157">
        <f>SUM(40*3)</f>
        <v>120</v>
      </c>
      <c r="I8" s="156" t="s">
        <v>20</v>
      </c>
      <c r="J8" s="156" t="s">
        <v>21</v>
      </c>
      <c r="K8" s="158">
        <v>45444</v>
      </c>
      <c r="L8" s="156" t="s">
        <v>20</v>
      </c>
      <c r="M8" s="135" t="s">
        <v>2394</v>
      </c>
    </row>
    <row r="9" spans="1:13" ht="51">
      <c r="A9" s="159" t="s">
        <v>2395</v>
      </c>
      <c r="B9" s="160" t="s">
        <v>2398</v>
      </c>
      <c r="C9" s="159" t="s">
        <v>34</v>
      </c>
      <c r="D9" s="159" t="s">
        <v>168</v>
      </c>
      <c r="E9" s="160">
        <v>25</v>
      </c>
      <c r="F9" s="161" t="s">
        <v>756</v>
      </c>
      <c r="G9" s="161" t="s">
        <v>227</v>
      </c>
      <c r="H9" s="162">
        <f>SUM(40*25)</f>
        <v>1000</v>
      </c>
      <c r="I9" s="159" t="s">
        <v>20</v>
      </c>
      <c r="J9" s="159" t="s">
        <v>21</v>
      </c>
      <c r="K9" s="158">
        <v>45444</v>
      </c>
      <c r="L9" s="159" t="s">
        <v>20</v>
      </c>
      <c r="M9" s="161" t="s">
        <v>2394</v>
      </c>
    </row>
    <row r="10" spans="1:13" ht="51">
      <c r="A10" s="163">
        <v>5</v>
      </c>
      <c r="B10" s="164" t="s">
        <v>2399</v>
      </c>
      <c r="C10" s="163" t="s">
        <v>34</v>
      </c>
      <c r="D10" s="163" t="s">
        <v>168</v>
      </c>
      <c r="E10" s="164">
        <v>1</v>
      </c>
      <c r="F10" s="165" t="s">
        <v>756</v>
      </c>
      <c r="G10" s="165" t="s">
        <v>227</v>
      </c>
      <c r="H10" s="157">
        <f>SUM(5000*1)</f>
        <v>5000</v>
      </c>
      <c r="I10" s="163" t="s">
        <v>20</v>
      </c>
      <c r="J10" s="163" t="s">
        <v>21</v>
      </c>
      <c r="K10" s="158">
        <v>45444</v>
      </c>
      <c r="L10" s="163" t="s">
        <v>20</v>
      </c>
      <c r="M10" s="165" t="s">
        <v>2394</v>
      </c>
    </row>
    <row r="11" spans="1:13" ht="51">
      <c r="A11" s="163">
        <v>6</v>
      </c>
      <c r="B11" s="164" t="s">
        <v>2400</v>
      </c>
      <c r="C11" s="163" t="s">
        <v>34</v>
      </c>
      <c r="D11" s="163" t="s">
        <v>35</v>
      </c>
      <c r="E11" s="164">
        <v>2</v>
      </c>
      <c r="F11" s="165" t="s">
        <v>756</v>
      </c>
      <c r="G11" s="165" t="s">
        <v>227</v>
      </c>
      <c r="H11" s="157">
        <f>SUM(400*2)</f>
        <v>800</v>
      </c>
      <c r="I11" s="163" t="s">
        <v>20</v>
      </c>
      <c r="J11" s="163" t="s">
        <v>21</v>
      </c>
      <c r="K11" s="158">
        <v>45444</v>
      </c>
      <c r="L11" s="163" t="s">
        <v>20</v>
      </c>
      <c r="M11" s="165" t="s">
        <v>2394</v>
      </c>
    </row>
    <row r="12" spans="1:13" ht="51">
      <c r="A12" s="166" t="s">
        <v>2395</v>
      </c>
      <c r="B12" s="167" t="s">
        <v>2400</v>
      </c>
      <c r="C12" s="166" t="s">
        <v>34</v>
      </c>
      <c r="D12" s="166" t="s">
        <v>35</v>
      </c>
      <c r="E12" s="167">
        <v>2</v>
      </c>
      <c r="F12" s="168" t="s">
        <v>756</v>
      </c>
      <c r="G12" s="168" t="s">
        <v>227</v>
      </c>
      <c r="H12" s="162">
        <f>SUM(400*2)</f>
        <v>800</v>
      </c>
      <c r="I12" s="166" t="s">
        <v>20</v>
      </c>
      <c r="J12" s="166" t="s">
        <v>21</v>
      </c>
      <c r="K12" s="158">
        <v>45444</v>
      </c>
      <c r="L12" s="166" t="s">
        <v>20</v>
      </c>
      <c r="M12" s="168" t="s">
        <v>2394</v>
      </c>
    </row>
    <row r="13" spans="1:13" ht="51">
      <c r="A13" s="163">
        <v>7</v>
      </c>
      <c r="B13" s="164" t="s">
        <v>2401</v>
      </c>
      <c r="C13" s="163" t="s">
        <v>34</v>
      </c>
      <c r="D13" s="163" t="s">
        <v>35</v>
      </c>
      <c r="E13" s="164">
        <v>12</v>
      </c>
      <c r="F13" s="165" t="s">
        <v>2402</v>
      </c>
      <c r="G13" s="165" t="s">
        <v>589</v>
      </c>
      <c r="H13" s="157">
        <f>SUM(22*12)</f>
        <v>264</v>
      </c>
      <c r="I13" s="163" t="s">
        <v>20</v>
      </c>
      <c r="J13" s="163" t="s">
        <v>21</v>
      </c>
      <c r="K13" s="158">
        <v>45444</v>
      </c>
      <c r="L13" s="163" t="s">
        <v>20</v>
      </c>
      <c r="M13" s="165" t="s">
        <v>2394</v>
      </c>
    </row>
    <row r="14" spans="1:13" ht="51">
      <c r="A14" s="166" t="s">
        <v>2395</v>
      </c>
      <c r="B14" s="167" t="s">
        <v>2401</v>
      </c>
      <c r="C14" s="166" t="s">
        <v>34</v>
      </c>
      <c r="D14" s="166" t="s">
        <v>35</v>
      </c>
      <c r="E14" s="167">
        <v>6</v>
      </c>
      <c r="F14" s="168" t="s">
        <v>2402</v>
      </c>
      <c r="G14" s="168" t="s">
        <v>589</v>
      </c>
      <c r="H14" s="162">
        <f>SUM(22*6)</f>
        <v>132</v>
      </c>
      <c r="I14" s="166" t="s">
        <v>20</v>
      </c>
      <c r="J14" s="166" t="s">
        <v>21</v>
      </c>
      <c r="K14" s="158">
        <v>45444</v>
      </c>
      <c r="L14" s="166" t="s">
        <v>20</v>
      </c>
      <c r="M14" s="168" t="s">
        <v>2394</v>
      </c>
    </row>
    <row r="15" spans="1:13" ht="51">
      <c r="A15" s="163">
        <v>8</v>
      </c>
      <c r="B15" s="164" t="s">
        <v>2403</v>
      </c>
      <c r="C15" s="163" t="s">
        <v>34</v>
      </c>
      <c r="D15" s="163" t="s">
        <v>168</v>
      </c>
      <c r="E15" s="164">
        <v>1</v>
      </c>
      <c r="F15" s="165" t="s">
        <v>756</v>
      </c>
      <c r="G15" s="165" t="s">
        <v>2404</v>
      </c>
      <c r="H15" s="157">
        <f>SUM(800*1)</f>
        <v>800</v>
      </c>
      <c r="I15" s="163" t="s">
        <v>20</v>
      </c>
      <c r="J15" s="163" t="s">
        <v>21</v>
      </c>
      <c r="K15" s="158">
        <v>45444</v>
      </c>
      <c r="L15" s="163" t="s">
        <v>20</v>
      </c>
      <c r="M15" s="165" t="s">
        <v>2394</v>
      </c>
    </row>
    <row r="16" spans="1:13" ht="51">
      <c r="A16" s="166" t="s">
        <v>2395</v>
      </c>
      <c r="B16" s="167" t="s">
        <v>2403</v>
      </c>
      <c r="C16" s="166" t="s">
        <v>34</v>
      </c>
      <c r="D16" s="166" t="s">
        <v>168</v>
      </c>
      <c r="E16" s="167">
        <v>1</v>
      </c>
      <c r="F16" s="168" t="s">
        <v>756</v>
      </c>
      <c r="G16" s="168" t="s">
        <v>2404</v>
      </c>
      <c r="H16" s="162">
        <f>SUM(800*1)</f>
        <v>800</v>
      </c>
      <c r="I16" s="166" t="s">
        <v>20</v>
      </c>
      <c r="J16" s="166" t="s">
        <v>21</v>
      </c>
      <c r="K16" s="158">
        <v>45444</v>
      </c>
      <c r="L16" s="166" t="s">
        <v>20</v>
      </c>
      <c r="M16" s="168" t="s">
        <v>2394</v>
      </c>
    </row>
    <row r="17" spans="1:13" ht="51">
      <c r="A17" s="163">
        <v>9</v>
      </c>
      <c r="B17" s="164" t="s">
        <v>2405</v>
      </c>
      <c r="C17" s="163" t="s">
        <v>34</v>
      </c>
      <c r="D17" s="163" t="s">
        <v>168</v>
      </c>
      <c r="E17" s="164">
        <v>2</v>
      </c>
      <c r="F17" s="165" t="s">
        <v>756</v>
      </c>
      <c r="G17" s="165" t="s">
        <v>2406</v>
      </c>
      <c r="H17" s="157">
        <f>SUM(35*2)</f>
        <v>70</v>
      </c>
      <c r="I17" s="163" t="s">
        <v>20</v>
      </c>
      <c r="J17" s="163" t="s">
        <v>21</v>
      </c>
      <c r="K17" s="158">
        <v>45444</v>
      </c>
      <c r="L17" s="163" t="s">
        <v>20</v>
      </c>
      <c r="M17" s="165" t="s">
        <v>2394</v>
      </c>
    </row>
    <row r="18" spans="1:13" ht="51">
      <c r="A18" s="166" t="s">
        <v>2395</v>
      </c>
      <c r="B18" s="167" t="s">
        <v>2405</v>
      </c>
      <c r="C18" s="166" t="s">
        <v>34</v>
      </c>
      <c r="D18" s="166" t="s">
        <v>168</v>
      </c>
      <c r="E18" s="167">
        <v>2</v>
      </c>
      <c r="F18" s="168" t="s">
        <v>756</v>
      </c>
      <c r="G18" s="168" t="s">
        <v>2406</v>
      </c>
      <c r="H18" s="162">
        <f>SUM(35*2)</f>
        <v>70</v>
      </c>
      <c r="I18" s="166" t="s">
        <v>20</v>
      </c>
      <c r="J18" s="166" t="s">
        <v>21</v>
      </c>
      <c r="K18" s="158">
        <v>45444</v>
      </c>
      <c r="L18" s="166" t="s">
        <v>20</v>
      </c>
      <c r="M18" s="168" t="s">
        <v>2394</v>
      </c>
    </row>
    <row r="19" spans="1:13" ht="63.75">
      <c r="A19" s="163">
        <v>10</v>
      </c>
      <c r="B19" s="164" t="s">
        <v>2407</v>
      </c>
      <c r="C19" s="163" t="s">
        <v>34</v>
      </c>
      <c r="D19" s="163" t="s">
        <v>35</v>
      </c>
      <c r="E19" s="164">
        <v>50</v>
      </c>
      <c r="F19" s="165" t="s">
        <v>2408</v>
      </c>
      <c r="G19" s="165" t="s">
        <v>2406</v>
      </c>
      <c r="H19" s="157">
        <f>SUM(11*50)</f>
        <v>550</v>
      </c>
      <c r="I19" s="163" t="s">
        <v>20</v>
      </c>
      <c r="J19" s="163" t="s">
        <v>21</v>
      </c>
      <c r="K19" s="158">
        <v>45444</v>
      </c>
      <c r="L19" s="163" t="s">
        <v>20</v>
      </c>
      <c r="M19" s="165" t="s">
        <v>2394</v>
      </c>
    </row>
    <row r="20" spans="1:13" ht="63.75">
      <c r="A20" s="166" t="s">
        <v>2395</v>
      </c>
      <c r="B20" s="167" t="s">
        <v>2407</v>
      </c>
      <c r="C20" s="166" t="s">
        <v>34</v>
      </c>
      <c r="D20" s="166" t="s">
        <v>35</v>
      </c>
      <c r="E20" s="167">
        <v>50</v>
      </c>
      <c r="F20" s="168" t="s">
        <v>2408</v>
      </c>
      <c r="G20" s="168" t="s">
        <v>2406</v>
      </c>
      <c r="H20" s="162">
        <f>SUM(11*50)</f>
        <v>550</v>
      </c>
      <c r="I20" s="166" t="s">
        <v>20</v>
      </c>
      <c r="J20" s="166" t="s">
        <v>21</v>
      </c>
      <c r="K20" s="158">
        <v>45444</v>
      </c>
      <c r="L20" s="166" t="s">
        <v>20</v>
      </c>
      <c r="M20" s="168" t="s">
        <v>2394</v>
      </c>
    </row>
    <row r="21" spans="1:13" ht="63.75">
      <c r="A21" s="156">
        <v>11</v>
      </c>
      <c r="B21" s="115" t="s">
        <v>2409</v>
      </c>
      <c r="C21" s="156" t="s">
        <v>34</v>
      </c>
      <c r="D21" s="156" t="s">
        <v>35</v>
      </c>
      <c r="E21" s="115">
        <v>12</v>
      </c>
      <c r="F21" s="135" t="s">
        <v>2410</v>
      </c>
      <c r="G21" s="135" t="s">
        <v>2411</v>
      </c>
      <c r="H21" s="169">
        <f>SUM(6*12)</f>
        <v>72</v>
      </c>
      <c r="I21" s="156" t="s">
        <v>20</v>
      </c>
      <c r="J21" s="156" t="s">
        <v>21</v>
      </c>
      <c r="K21" s="158">
        <v>45444</v>
      </c>
      <c r="L21" s="156" t="s">
        <v>20</v>
      </c>
      <c r="M21" s="135" t="s">
        <v>2394</v>
      </c>
    </row>
    <row r="22" spans="1:13" ht="63.75">
      <c r="A22" s="159" t="s">
        <v>2395</v>
      </c>
      <c r="B22" s="160" t="s">
        <v>2409</v>
      </c>
      <c r="C22" s="159" t="s">
        <v>34</v>
      </c>
      <c r="D22" s="159" t="s">
        <v>35</v>
      </c>
      <c r="E22" s="160">
        <v>12</v>
      </c>
      <c r="F22" s="161" t="s">
        <v>2410</v>
      </c>
      <c r="G22" s="161" t="s">
        <v>2411</v>
      </c>
      <c r="H22" s="170">
        <f>SUM(6*12)</f>
        <v>72</v>
      </c>
      <c r="I22" s="159" t="s">
        <v>20</v>
      </c>
      <c r="J22" s="159" t="s">
        <v>21</v>
      </c>
      <c r="K22" s="158">
        <v>45444</v>
      </c>
      <c r="L22" s="159" t="s">
        <v>20</v>
      </c>
      <c r="M22" s="161" t="s">
        <v>2394</v>
      </c>
    </row>
    <row r="23" spans="1:13" ht="51">
      <c r="A23" s="163">
        <v>12</v>
      </c>
      <c r="B23" s="164" t="s">
        <v>2412</v>
      </c>
      <c r="C23" s="163" t="s">
        <v>34</v>
      </c>
      <c r="D23" s="163" t="s">
        <v>168</v>
      </c>
      <c r="E23" s="164">
        <v>1</v>
      </c>
      <c r="F23" s="165" t="s">
        <v>756</v>
      </c>
      <c r="G23" s="165" t="s">
        <v>2413</v>
      </c>
      <c r="H23" s="157">
        <v>550</v>
      </c>
      <c r="I23" s="163" t="s">
        <v>20</v>
      </c>
      <c r="J23" s="163" t="s">
        <v>169</v>
      </c>
      <c r="K23" s="158">
        <v>45444</v>
      </c>
      <c r="L23" s="163" t="s">
        <v>20</v>
      </c>
      <c r="M23" s="165" t="s">
        <v>2394</v>
      </c>
    </row>
    <row r="24" spans="1:13" ht="51">
      <c r="A24" s="156">
        <v>13</v>
      </c>
      <c r="B24" s="115" t="s">
        <v>2414</v>
      </c>
      <c r="C24" s="156" t="s">
        <v>34</v>
      </c>
      <c r="D24" s="156" t="s">
        <v>35</v>
      </c>
      <c r="E24" s="115">
        <v>2</v>
      </c>
      <c r="F24" s="135" t="s">
        <v>2415</v>
      </c>
      <c r="G24" s="135" t="s">
        <v>2416</v>
      </c>
      <c r="H24" s="169">
        <v>14</v>
      </c>
      <c r="I24" s="156" t="s">
        <v>20</v>
      </c>
      <c r="J24" s="156" t="s">
        <v>21</v>
      </c>
      <c r="K24" s="158">
        <v>45444</v>
      </c>
      <c r="L24" s="156" t="s">
        <v>20</v>
      </c>
      <c r="M24" s="135" t="s">
        <v>2394</v>
      </c>
    </row>
    <row r="25" spans="1:13" ht="51">
      <c r="A25" s="156">
        <v>14</v>
      </c>
      <c r="B25" s="115" t="s">
        <v>2417</v>
      </c>
      <c r="C25" s="156" t="s">
        <v>34</v>
      </c>
      <c r="D25" s="156" t="s">
        <v>35</v>
      </c>
      <c r="E25" s="115">
        <v>3</v>
      </c>
      <c r="F25" s="135" t="s">
        <v>2418</v>
      </c>
      <c r="G25" s="135" t="s">
        <v>2419</v>
      </c>
      <c r="H25" s="169">
        <v>330</v>
      </c>
      <c r="I25" s="156" t="s">
        <v>20</v>
      </c>
      <c r="J25" s="156" t="s">
        <v>21</v>
      </c>
      <c r="K25" s="158">
        <v>45444</v>
      </c>
      <c r="L25" s="156" t="s">
        <v>20</v>
      </c>
      <c r="M25" s="135" t="s">
        <v>2394</v>
      </c>
    </row>
    <row r="26" spans="1:13" ht="51">
      <c r="A26" s="163">
        <v>15</v>
      </c>
      <c r="B26" s="164" t="s">
        <v>2420</v>
      </c>
      <c r="C26" s="163" t="s">
        <v>34</v>
      </c>
      <c r="D26" s="163" t="s">
        <v>168</v>
      </c>
      <c r="E26" s="164">
        <v>1</v>
      </c>
      <c r="F26" s="165" t="s">
        <v>756</v>
      </c>
      <c r="G26" s="165" t="s">
        <v>2074</v>
      </c>
      <c r="H26" s="171">
        <f>SUM(110000*1)</f>
        <v>110000</v>
      </c>
      <c r="I26" s="163" t="s">
        <v>20</v>
      </c>
      <c r="J26" s="163" t="s">
        <v>21</v>
      </c>
      <c r="K26" s="158">
        <v>45444</v>
      </c>
      <c r="L26" s="163" t="s">
        <v>20</v>
      </c>
      <c r="M26" s="165" t="s">
        <v>2394</v>
      </c>
    </row>
    <row r="27" spans="1:13" ht="51">
      <c r="A27" s="163">
        <v>16</v>
      </c>
      <c r="B27" s="164" t="s">
        <v>2421</v>
      </c>
      <c r="C27" s="163" t="s">
        <v>34</v>
      </c>
      <c r="D27" s="163" t="s">
        <v>168</v>
      </c>
      <c r="E27" s="164">
        <v>1</v>
      </c>
      <c r="F27" s="165" t="s">
        <v>756</v>
      </c>
      <c r="G27" s="165" t="s">
        <v>2074</v>
      </c>
      <c r="H27" s="171">
        <f>SUM(400000*1)</f>
        <v>400000</v>
      </c>
      <c r="I27" s="163" t="s">
        <v>20</v>
      </c>
      <c r="J27" s="163" t="s">
        <v>21</v>
      </c>
      <c r="K27" s="158">
        <v>45444</v>
      </c>
      <c r="L27" s="163" t="s">
        <v>20</v>
      </c>
      <c r="M27" s="165" t="s">
        <v>2394</v>
      </c>
    </row>
    <row r="28" spans="1:13" ht="51">
      <c r="A28" s="163">
        <v>17</v>
      </c>
      <c r="B28" s="164" t="s">
        <v>2422</v>
      </c>
      <c r="C28" s="163" t="s">
        <v>25</v>
      </c>
      <c r="D28" s="163" t="s">
        <v>17</v>
      </c>
      <c r="E28" s="172">
        <v>84000</v>
      </c>
      <c r="F28" s="165" t="s">
        <v>2423</v>
      </c>
      <c r="G28" s="165" t="s">
        <v>2074</v>
      </c>
      <c r="H28" s="157">
        <f>SUM(3000*12)+ 6000</f>
        <v>42000</v>
      </c>
      <c r="I28" s="163" t="s">
        <v>20</v>
      </c>
      <c r="J28" s="163" t="s">
        <v>21</v>
      </c>
      <c r="K28" s="158">
        <v>45444</v>
      </c>
      <c r="L28" s="163" t="s">
        <v>20</v>
      </c>
      <c r="M28" s="165" t="s">
        <v>2394</v>
      </c>
    </row>
    <row r="29" spans="1:13" ht="51">
      <c r="A29" s="163">
        <v>18</v>
      </c>
      <c r="B29" s="164" t="s">
        <v>2424</v>
      </c>
      <c r="C29" s="163" t="s">
        <v>34</v>
      </c>
      <c r="D29" s="163" t="s">
        <v>35</v>
      </c>
      <c r="E29" s="164">
        <v>104</v>
      </c>
      <c r="F29" s="165" t="s">
        <v>2425</v>
      </c>
      <c r="G29" s="165" t="s">
        <v>2426</v>
      </c>
      <c r="H29" s="157">
        <f>SUM(100*104)</f>
        <v>10400</v>
      </c>
      <c r="I29" s="163" t="s">
        <v>20</v>
      </c>
      <c r="J29" s="163" t="s">
        <v>21</v>
      </c>
      <c r="K29" s="158">
        <v>45444</v>
      </c>
      <c r="L29" s="163" t="s">
        <v>20</v>
      </c>
      <c r="M29" s="165" t="s">
        <v>2394</v>
      </c>
    </row>
    <row r="30" spans="1:13" ht="51">
      <c r="A30" s="156">
        <v>19</v>
      </c>
      <c r="B30" s="115" t="s">
        <v>2427</v>
      </c>
      <c r="C30" s="156" t="s">
        <v>34</v>
      </c>
      <c r="D30" s="156" t="s">
        <v>35</v>
      </c>
      <c r="E30" s="115">
        <v>18</v>
      </c>
      <c r="F30" s="135" t="s">
        <v>2428</v>
      </c>
      <c r="G30" s="135" t="s">
        <v>2426</v>
      </c>
      <c r="H30" s="169">
        <f>SUM(40*18)</f>
        <v>720</v>
      </c>
      <c r="I30" s="156" t="s">
        <v>20</v>
      </c>
      <c r="J30" s="156" t="s">
        <v>21</v>
      </c>
      <c r="K30" s="158">
        <v>45444</v>
      </c>
      <c r="L30" s="156" t="s">
        <v>20</v>
      </c>
      <c r="M30" s="135" t="s">
        <v>2394</v>
      </c>
    </row>
    <row r="31" spans="1:13" ht="51">
      <c r="A31" s="156">
        <v>20</v>
      </c>
      <c r="B31" s="115" t="s">
        <v>2429</v>
      </c>
      <c r="C31" s="156" t="s">
        <v>34</v>
      </c>
      <c r="D31" s="156" t="s">
        <v>35</v>
      </c>
      <c r="E31" s="115">
        <v>24</v>
      </c>
      <c r="F31" s="135" t="s">
        <v>2428</v>
      </c>
      <c r="G31" s="135" t="s">
        <v>2426</v>
      </c>
      <c r="H31" s="169">
        <f>SUM(4*24)</f>
        <v>96</v>
      </c>
      <c r="I31" s="156" t="s">
        <v>20</v>
      </c>
      <c r="J31" s="156" t="s">
        <v>21</v>
      </c>
      <c r="K31" s="158">
        <v>45444</v>
      </c>
      <c r="L31" s="156" t="s">
        <v>20</v>
      </c>
      <c r="M31" s="135" t="s">
        <v>2394</v>
      </c>
    </row>
    <row r="32" spans="1:13" ht="51">
      <c r="A32" s="156">
        <v>21</v>
      </c>
      <c r="B32" s="115" t="s">
        <v>2430</v>
      </c>
      <c r="C32" s="156" t="s">
        <v>34</v>
      </c>
      <c r="D32" s="156" t="s">
        <v>35</v>
      </c>
      <c r="E32" s="115">
        <v>20</v>
      </c>
      <c r="F32" s="135" t="s">
        <v>2431</v>
      </c>
      <c r="G32" s="135" t="s">
        <v>2432</v>
      </c>
      <c r="H32" s="169">
        <f>SUM(4*20)</f>
        <v>80</v>
      </c>
      <c r="I32" s="156" t="s">
        <v>20</v>
      </c>
      <c r="J32" s="156" t="s">
        <v>21</v>
      </c>
      <c r="K32" s="158">
        <v>45444</v>
      </c>
      <c r="L32" s="156" t="s">
        <v>20</v>
      </c>
      <c r="M32" s="135" t="s">
        <v>2394</v>
      </c>
    </row>
    <row r="33" spans="1:13" ht="76.5">
      <c r="A33" s="156">
        <v>22</v>
      </c>
      <c r="B33" s="115" t="s">
        <v>2433</v>
      </c>
      <c r="C33" s="156" t="s">
        <v>34</v>
      </c>
      <c r="D33" s="156" t="s">
        <v>35</v>
      </c>
      <c r="E33" s="115" t="s">
        <v>2434</v>
      </c>
      <c r="F33" s="135" t="s">
        <v>2435</v>
      </c>
      <c r="G33" s="135" t="s">
        <v>2436</v>
      </c>
      <c r="H33" s="169">
        <f>SUM(60*4)</f>
        <v>240</v>
      </c>
      <c r="I33" s="156" t="s">
        <v>20</v>
      </c>
      <c r="J33" s="156" t="s">
        <v>21</v>
      </c>
      <c r="K33" s="158">
        <v>45444</v>
      </c>
      <c r="L33" s="156" t="s">
        <v>20</v>
      </c>
      <c r="M33" s="135" t="s">
        <v>2394</v>
      </c>
    </row>
    <row r="34" spans="1:13" ht="63.75">
      <c r="A34" s="159" t="s">
        <v>2395</v>
      </c>
      <c r="B34" s="160" t="s">
        <v>2433</v>
      </c>
      <c r="C34" s="159" t="s">
        <v>34</v>
      </c>
      <c r="D34" s="159" t="s">
        <v>35</v>
      </c>
      <c r="E34" s="160" t="s">
        <v>2437</v>
      </c>
      <c r="F34" s="161" t="s">
        <v>2438</v>
      </c>
      <c r="G34" s="161" t="s">
        <v>2436</v>
      </c>
      <c r="H34" s="170">
        <f>SUM(60*3)</f>
        <v>180</v>
      </c>
      <c r="I34" s="159" t="s">
        <v>20</v>
      </c>
      <c r="J34" s="159" t="s">
        <v>21</v>
      </c>
      <c r="K34" s="158">
        <v>45444</v>
      </c>
      <c r="L34" s="159" t="s">
        <v>20</v>
      </c>
      <c r="M34" s="161" t="s">
        <v>2394</v>
      </c>
    </row>
    <row r="35" spans="1:13" ht="63.75">
      <c r="A35" s="156">
        <v>23</v>
      </c>
      <c r="B35" s="115" t="s">
        <v>2439</v>
      </c>
      <c r="C35" s="156" t="s">
        <v>34</v>
      </c>
      <c r="D35" s="156" t="s">
        <v>35</v>
      </c>
      <c r="E35" s="115" t="s">
        <v>2440</v>
      </c>
      <c r="F35" s="135" t="s">
        <v>2441</v>
      </c>
      <c r="G35" s="135" t="s">
        <v>2436</v>
      </c>
      <c r="H35" s="169">
        <f>SUM(15*10)</f>
        <v>150</v>
      </c>
      <c r="I35" s="156" t="s">
        <v>20</v>
      </c>
      <c r="J35" s="156" t="s">
        <v>21</v>
      </c>
      <c r="K35" s="158">
        <v>45444</v>
      </c>
      <c r="L35" s="156" t="s">
        <v>20</v>
      </c>
      <c r="M35" s="135" t="s">
        <v>2394</v>
      </c>
    </row>
    <row r="36" spans="1:13" ht="63.75">
      <c r="A36" s="159" t="s">
        <v>2395</v>
      </c>
      <c r="B36" s="160" t="s">
        <v>2439</v>
      </c>
      <c r="C36" s="159" t="s">
        <v>34</v>
      </c>
      <c r="D36" s="159" t="s">
        <v>35</v>
      </c>
      <c r="E36" s="160" t="s">
        <v>2442</v>
      </c>
      <c r="F36" s="161" t="s">
        <v>2443</v>
      </c>
      <c r="G36" s="161" t="s">
        <v>2436</v>
      </c>
      <c r="H36" s="170">
        <f>SUM(15*5)</f>
        <v>75</v>
      </c>
      <c r="I36" s="159" t="s">
        <v>20</v>
      </c>
      <c r="J36" s="159" t="s">
        <v>21</v>
      </c>
      <c r="K36" s="158">
        <v>45444</v>
      </c>
      <c r="L36" s="159" t="s">
        <v>20</v>
      </c>
      <c r="M36" s="161" t="s">
        <v>2394</v>
      </c>
    </row>
    <row r="37" spans="1:13" ht="51">
      <c r="A37" s="156">
        <v>24</v>
      </c>
      <c r="B37" s="115" t="s">
        <v>2444</v>
      </c>
      <c r="C37" s="156" t="s">
        <v>34</v>
      </c>
      <c r="D37" s="156" t="s">
        <v>35</v>
      </c>
      <c r="E37" s="115">
        <v>36</v>
      </c>
      <c r="F37" s="135" t="s">
        <v>2445</v>
      </c>
      <c r="G37" s="135" t="s">
        <v>2446</v>
      </c>
      <c r="H37" s="169">
        <f>SUM(3*36)</f>
        <v>108</v>
      </c>
      <c r="I37" s="156" t="s">
        <v>20</v>
      </c>
      <c r="J37" s="156" t="s">
        <v>21</v>
      </c>
      <c r="K37" s="158">
        <v>45444</v>
      </c>
      <c r="L37" s="156" t="s">
        <v>20</v>
      </c>
      <c r="M37" s="135" t="s">
        <v>2394</v>
      </c>
    </row>
    <row r="38" spans="1:13" ht="51">
      <c r="A38" s="159" t="s">
        <v>2395</v>
      </c>
      <c r="B38" s="160" t="s">
        <v>2444</v>
      </c>
      <c r="C38" s="159" t="s">
        <v>34</v>
      </c>
      <c r="D38" s="159" t="s">
        <v>35</v>
      </c>
      <c r="E38" s="160">
        <v>24</v>
      </c>
      <c r="F38" s="161" t="s">
        <v>2447</v>
      </c>
      <c r="G38" s="161" t="s">
        <v>2446</v>
      </c>
      <c r="H38" s="170">
        <f>SUM(3*24)</f>
        <v>72</v>
      </c>
      <c r="I38" s="159" t="s">
        <v>20</v>
      </c>
      <c r="J38" s="159" t="s">
        <v>21</v>
      </c>
      <c r="K38" s="158">
        <v>45444</v>
      </c>
      <c r="L38" s="159" t="s">
        <v>20</v>
      </c>
      <c r="M38" s="161" t="s">
        <v>2394</v>
      </c>
    </row>
    <row r="39" spans="1:13" ht="51">
      <c r="A39" s="156">
        <v>25</v>
      </c>
      <c r="B39" s="115" t="s">
        <v>2448</v>
      </c>
      <c r="C39" s="156" t="s">
        <v>34</v>
      </c>
      <c r="D39" s="156" t="s">
        <v>35</v>
      </c>
      <c r="E39" s="115">
        <v>48</v>
      </c>
      <c r="F39" s="135" t="s">
        <v>2449</v>
      </c>
      <c r="G39" s="135" t="s">
        <v>2446</v>
      </c>
      <c r="H39" s="169">
        <f>SUM(4*48)</f>
        <v>192</v>
      </c>
      <c r="I39" s="156" t="s">
        <v>20</v>
      </c>
      <c r="J39" s="156" t="s">
        <v>21</v>
      </c>
      <c r="K39" s="158">
        <v>45444</v>
      </c>
      <c r="L39" s="156" t="s">
        <v>20</v>
      </c>
      <c r="M39" s="135" t="s">
        <v>2394</v>
      </c>
    </row>
    <row r="40" spans="1:13" ht="51">
      <c r="A40" s="159" t="s">
        <v>2395</v>
      </c>
      <c r="B40" s="160" t="s">
        <v>2448</v>
      </c>
      <c r="C40" s="159" t="s">
        <v>34</v>
      </c>
      <c r="D40" s="159" t="s">
        <v>35</v>
      </c>
      <c r="E40" s="160">
        <v>36</v>
      </c>
      <c r="F40" s="161" t="s">
        <v>2450</v>
      </c>
      <c r="G40" s="161" t="s">
        <v>2446</v>
      </c>
      <c r="H40" s="170">
        <f>SUM(4*36)</f>
        <v>144</v>
      </c>
      <c r="I40" s="159" t="s">
        <v>20</v>
      </c>
      <c r="J40" s="159" t="s">
        <v>21</v>
      </c>
      <c r="K40" s="158">
        <v>45444</v>
      </c>
      <c r="L40" s="159" t="s">
        <v>20</v>
      </c>
      <c r="M40" s="161" t="s">
        <v>2394</v>
      </c>
    </row>
    <row r="41" spans="1:13" ht="51">
      <c r="A41" s="156">
        <v>26</v>
      </c>
      <c r="B41" s="115" t="s">
        <v>2451</v>
      </c>
      <c r="C41" s="156" t="s">
        <v>34</v>
      </c>
      <c r="D41" s="156" t="s">
        <v>35</v>
      </c>
      <c r="E41" s="115">
        <v>12</v>
      </c>
      <c r="F41" s="135" t="s">
        <v>2452</v>
      </c>
      <c r="G41" s="135" t="s">
        <v>2446</v>
      </c>
      <c r="H41" s="169">
        <f>SUM(10*12)</f>
        <v>120</v>
      </c>
      <c r="I41" s="156" t="s">
        <v>20</v>
      </c>
      <c r="J41" s="156" t="s">
        <v>21</v>
      </c>
      <c r="K41" s="158">
        <v>45444</v>
      </c>
      <c r="L41" s="156" t="s">
        <v>20</v>
      </c>
      <c r="M41" s="135" t="s">
        <v>2394</v>
      </c>
    </row>
    <row r="42" spans="1:13" ht="51">
      <c r="A42" s="159" t="s">
        <v>2395</v>
      </c>
      <c r="B42" s="160" t="s">
        <v>2451</v>
      </c>
      <c r="C42" s="159" t="s">
        <v>34</v>
      </c>
      <c r="D42" s="159" t="s">
        <v>35</v>
      </c>
      <c r="E42" s="160">
        <v>12</v>
      </c>
      <c r="F42" s="161" t="s">
        <v>2452</v>
      </c>
      <c r="G42" s="161" t="s">
        <v>2446</v>
      </c>
      <c r="H42" s="170">
        <f>SUM(10*12)</f>
        <v>120</v>
      </c>
      <c r="I42" s="159" t="s">
        <v>20</v>
      </c>
      <c r="J42" s="159" t="s">
        <v>21</v>
      </c>
      <c r="K42" s="158">
        <v>45444</v>
      </c>
      <c r="L42" s="159" t="s">
        <v>20</v>
      </c>
      <c r="M42" s="161" t="s">
        <v>2394</v>
      </c>
    </row>
    <row r="43" spans="1:13" ht="51">
      <c r="A43" s="156">
        <v>27</v>
      </c>
      <c r="B43" s="115" t="s">
        <v>2453</v>
      </c>
      <c r="C43" s="156" t="s">
        <v>34</v>
      </c>
      <c r="D43" s="156" t="s">
        <v>35</v>
      </c>
      <c r="E43" s="115">
        <v>60</v>
      </c>
      <c r="F43" s="135" t="s">
        <v>2454</v>
      </c>
      <c r="G43" s="135" t="s">
        <v>2446</v>
      </c>
      <c r="H43" s="169">
        <f>SUM(4*60)</f>
        <v>240</v>
      </c>
      <c r="I43" s="156" t="s">
        <v>20</v>
      </c>
      <c r="J43" s="156" t="s">
        <v>21</v>
      </c>
      <c r="K43" s="158">
        <v>45444</v>
      </c>
      <c r="L43" s="156" t="s">
        <v>20</v>
      </c>
      <c r="M43" s="135" t="s">
        <v>2394</v>
      </c>
    </row>
    <row r="44" spans="1:13" ht="51">
      <c r="A44" s="159" t="s">
        <v>2395</v>
      </c>
      <c r="B44" s="160" t="s">
        <v>2453</v>
      </c>
      <c r="C44" s="159" t="s">
        <v>34</v>
      </c>
      <c r="D44" s="159" t="s">
        <v>35</v>
      </c>
      <c r="E44" s="160">
        <v>60</v>
      </c>
      <c r="F44" s="161" t="s">
        <v>2454</v>
      </c>
      <c r="G44" s="161" t="s">
        <v>2446</v>
      </c>
      <c r="H44" s="162">
        <f>SUM(4*60)</f>
        <v>240</v>
      </c>
      <c r="I44" s="159" t="s">
        <v>20</v>
      </c>
      <c r="J44" s="159" t="s">
        <v>21</v>
      </c>
      <c r="K44" s="158">
        <v>45444</v>
      </c>
      <c r="L44" s="159" t="s">
        <v>20</v>
      </c>
      <c r="M44" s="161" t="s">
        <v>2394</v>
      </c>
    </row>
    <row r="45" spans="1:13" ht="51">
      <c r="A45" s="156">
        <v>28</v>
      </c>
      <c r="B45" s="115" t="s">
        <v>2383</v>
      </c>
      <c r="C45" s="156" t="s">
        <v>34</v>
      </c>
      <c r="D45" s="156" t="s">
        <v>35</v>
      </c>
      <c r="E45" s="115">
        <v>60</v>
      </c>
      <c r="F45" s="135" t="s">
        <v>2455</v>
      </c>
      <c r="G45" s="135" t="s">
        <v>2446</v>
      </c>
      <c r="H45" s="169">
        <f>SUM(3*60)</f>
        <v>180</v>
      </c>
      <c r="I45" s="156" t="s">
        <v>20</v>
      </c>
      <c r="J45" s="156" t="s">
        <v>21</v>
      </c>
      <c r="K45" s="158">
        <v>45444</v>
      </c>
      <c r="L45" s="156" t="s">
        <v>20</v>
      </c>
      <c r="M45" s="135" t="s">
        <v>2394</v>
      </c>
    </row>
    <row r="46" spans="1:13" ht="51">
      <c r="A46" s="159" t="s">
        <v>2395</v>
      </c>
      <c r="B46" s="160" t="s">
        <v>2383</v>
      </c>
      <c r="C46" s="159" t="s">
        <v>34</v>
      </c>
      <c r="D46" s="159" t="s">
        <v>35</v>
      </c>
      <c r="E46" s="160">
        <v>60</v>
      </c>
      <c r="F46" s="161" t="s">
        <v>2455</v>
      </c>
      <c r="G46" s="161" t="s">
        <v>2446</v>
      </c>
      <c r="H46" s="170">
        <f>SUM(3*60)</f>
        <v>180</v>
      </c>
      <c r="I46" s="159" t="s">
        <v>20</v>
      </c>
      <c r="J46" s="159" t="s">
        <v>21</v>
      </c>
      <c r="K46" s="158">
        <v>45444</v>
      </c>
      <c r="L46" s="159" t="s">
        <v>20</v>
      </c>
      <c r="M46" s="161" t="s">
        <v>2394</v>
      </c>
    </row>
    <row r="47" spans="1:13" ht="51">
      <c r="A47" s="156">
        <v>29</v>
      </c>
      <c r="B47" s="115" t="s">
        <v>2456</v>
      </c>
      <c r="C47" s="156" t="s">
        <v>34</v>
      </c>
      <c r="D47" s="156" t="s">
        <v>35</v>
      </c>
      <c r="E47" s="115">
        <v>48</v>
      </c>
      <c r="F47" s="135" t="s">
        <v>2457</v>
      </c>
      <c r="G47" s="135" t="s">
        <v>2446</v>
      </c>
      <c r="H47" s="169">
        <f>SUM(3*48)</f>
        <v>144</v>
      </c>
      <c r="I47" s="156" t="s">
        <v>20</v>
      </c>
      <c r="J47" s="156" t="s">
        <v>21</v>
      </c>
      <c r="K47" s="158">
        <v>45444</v>
      </c>
      <c r="L47" s="156" t="s">
        <v>20</v>
      </c>
      <c r="M47" s="135" t="s">
        <v>2394</v>
      </c>
    </row>
    <row r="48" spans="1:13" ht="51">
      <c r="A48" s="159" t="s">
        <v>2395</v>
      </c>
      <c r="B48" s="160" t="s">
        <v>2456</v>
      </c>
      <c r="C48" s="159" t="s">
        <v>34</v>
      </c>
      <c r="D48" s="159" t="s">
        <v>35</v>
      </c>
      <c r="E48" s="160">
        <v>48</v>
      </c>
      <c r="F48" s="161" t="s">
        <v>2457</v>
      </c>
      <c r="G48" s="161" t="s">
        <v>2446</v>
      </c>
      <c r="H48" s="170">
        <f>SUM(3*48)</f>
        <v>144</v>
      </c>
      <c r="I48" s="159" t="s">
        <v>20</v>
      </c>
      <c r="J48" s="159" t="s">
        <v>21</v>
      </c>
      <c r="K48" s="158">
        <v>45444</v>
      </c>
      <c r="L48" s="159" t="s">
        <v>20</v>
      </c>
      <c r="M48" s="161" t="s">
        <v>2394</v>
      </c>
    </row>
    <row r="49" spans="1:13" ht="51">
      <c r="A49" s="156">
        <v>30</v>
      </c>
      <c r="B49" s="115" t="s">
        <v>2458</v>
      </c>
      <c r="C49" s="156" t="s">
        <v>34</v>
      </c>
      <c r="D49" s="156" t="s">
        <v>35</v>
      </c>
      <c r="E49" s="115">
        <v>3</v>
      </c>
      <c r="F49" s="135" t="s">
        <v>2459</v>
      </c>
      <c r="G49" s="135" t="s">
        <v>2460</v>
      </c>
      <c r="H49" s="169">
        <f>SUM(15*4)</f>
        <v>60</v>
      </c>
      <c r="I49" s="156" t="s">
        <v>20</v>
      </c>
      <c r="J49" s="156" t="s">
        <v>21</v>
      </c>
      <c r="K49" s="158">
        <v>45444</v>
      </c>
      <c r="L49" s="156" t="s">
        <v>20</v>
      </c>
      <c r="M49" s="135" t="s">
        <v>2394</v>
      </c>
    </row>
    <row r="50" spans="1:13" ht="51">
      <c r="A50" s="159" t="s">
        <v>2395</v>
      </c>
      <c r="B50" s="160" t="s">
        <v>2458</v>
      </c>
      <c r="C50" s="159" t="s">
        <v>34</v>
      </c>
      <c r="D50" s="159" t="s">
        <v>35</v>
      </c>
      <c r="E50" s="160">
        <v>3</v>
      </c>
      <c r="F50" s="161" t="s">
        <v>2459</v>
      </c>
      <c r="G50" s="161" t="s">
        <v>2460</v>
      </c>
      <c r="H50" s="170">
        <f>SUM(15*4)</f>
        <v>60</v>
      </c>
      <c r="I50" s="159" t="s">
        <v>20</v>
      </c>
      <c r="J50" s="159" t="s">
        <v>21</v>
      </c>
      <c r="K50" s="158">
        <v>45444</v>
      </c>
      <c r="L50" s="159" t="s">
        <v>20</v>
      </c>
      <c r="M50" s="161" t="s">
        <v>2394</v>
      </c>
    </row>
    <row r="51" spans="1:13" ht="51">
      <c r="A51" s="156">
        <v>31</v>
      </c>
      <c r="B51" s="115" t="s">
        <v>2461</v>
      </c>
      <c r="C51" s="156" t="s">
        <v>34</v>
      </c>
      <c r="D51" s="156" t="s">
        <v>35</v>
      </c>
      <c r="E51" s="115">
        <v>3</v>
      </c>
      <c r="F51" s="135" t="s">
        <v>2459</v>
      </c>
      <c r="G51" s="135" t="s">
        <v>2460</v>
      </c>
      <c r="H51" s="169">
        <f>SUM(15*4)</f>
        <v>60</v>
      </c>
      <c r="I51" s="156" t="s">
        <v>20</v>
      </c>
      <c r="J51" s="156" t="s">
        <v>21</v>
      </c>
      <c r="K51" s="158">
        <v>45444</v>
      </c>
      <c r="L51" s="156" t="s">
        <v>20</v>
      </c>
      <c r="M51" s="135" t="s">
        <v>2394</v>
      </c>
    </row>
    <row r="52" spans="1:13" ht="51">
      <c r="A52" s="159" t="s">
        <v>2395</v>
      </c>
      <c r="B52" s="160" t="s">
        <v>2461</v>
      </c>
      <c r="C52" s="159" t="s">
        <v>34</v>
      </c>
      <c r="D52" s="159" t="s">
        <v>35</v>
      </c>
      <c r="E52" s="160">
        <v>3</v>
      </c>
      <c r="F52" s="161" t="s">
        <v>2459</v>
      </c>
      <c r="G52" s="161" t="s">
        <v>2460</v>
      </c>
      <c r="H52" s="170">
        <f>SUM(15*4)</f>
        <v>60</v>
      </c>
      <c r="I52" s="159" t="s">
        <v>20</v>
      </c>
      <c r="J52" s="159" t="s">
        <v>21</v>
      </c>
      <c r="K52" s="158">
        <v>45444</v>
      </c>
      <c r="L52" s="159" t="s">
        <v>20</v>
      </c>
      <c r="M52" s="161" t="s">
        <v>2394</v>
      </c>
    </row>
    <row r="53" spans="1:13" ht="51">
      <c r="A53" s="156">
        <v>32</v>
      </c>
      <c r="B53" s="115" t="s">
        <v>2462</v>
      </c>
      <c r="C53" s="156" t="s">
        <v>34</v>
      </c>
      <c r="D53" s="156" t="s">
        <v>35</v>
      </c>
      <c r="E53" s="115">
        <v>10</v>
      </c>
      <c r="F53" s="135" t="s">
        <v>2463</v>
      </c>
      <c r="G53" s="135" t="s">
        <v>2460</v>
      </c>
      <c r="H53" s="169">
        <f>SUM(5*10)</f>
        <v>50</v>
      </c>
      <c r="I53" s="156" t="s">
        <v>20</v>
      </c>
      <c r="J53" s="156" t="s">
        <v>21</v>
      </c>
      <c r="K53" s="158">
        <v>45444</v>
      </c>
      <c r="L53" s="156" t="s">
        <v>20</v>
      </c>
      <c r="M53" s="135" t="s">
        <v>2394</v>
      </c>
    </row>
    <row r="54" spans="1:13" ht="51">
      <c r="A54" s="159" t="s">
        <v>2395</v>
      </c>
      <c r="B54" s="160" t="s">
        <v>2462</v>
      </c>
      <c r="C54" s="159" t="s">
        <v>34</v>
      </c>
      <c r="D54" s="159" t="s">
        <v>35</v>
      </c>
      <c r="E54" s="160">
        <v>6</v>
      </c>
      <c r="F54" s="161" t="s">
        <v>2463</v>
      </c>
      <c r="G54" s="161" t="s">
        <v>2460</v>
      </c>
      <c r="H54" s="170">
        <f>SUM(5*6)</f>
        <v>30</v>
      </c>
      <c r="I54" s="159" t="s">
        <v>20</v>
      </c>
      <c r="J54" s="159" t="s">
        <v>21</v>
      </c>
      <c r="K54" s="158">
        <v>45444</v>
      </c>
      <c r="L54" s="159" t="s">
        <v>20</v>
      </c>
      <c r="M54" s="161" t="s">
        <v>2394</v>
      </c>
    </row>
    <row r="55" spans="1:13" ht="51">
      <c r="A55" s="156">
        <v>33</v>
      </c>
      <c r="B55" s="115" t="s">
        <v>2464</v>
      </c>
      <c r="C55" s="156" t="s">
        <v>34</v>
      </c>
      <c r="D55" s="156" t="s">
        <v>35</v>
      </c>
      <c r="E55" s="115">
        <v>10</v>
      </c>
      <c r="F55" s="135" t="s">
        <v>2463</v>
      </c>
      <c r="G55" s="135" t="s">
        <v>2460</v>
      </c>
      <c r="H55" s="169">
        <f>SUM(5*10)</f>
        <v>50</v>
      </c>
      <c r="I55" s="156" t="s">
        <v>20</v>
      </c>
      <c r="J55" s="156" t="s">
        <v>21</v>
      </c>
      <c r="K55" s="158">
        <v>45444</v>
      </c>
      <c r="L55" s="156" t="s">
        <v>20</v>
      </c>
      <c r="M55" s="135" t="s">
        <v>2394</v>
      </c>
    </row>
    <row r="56" spans="1:13" ht="51">
      <c r="A56" s="159" t="s">
        <v>2395</v>
      </c>
      <c r="B56" s="160" t="s">
        <v>2464</v>
      </c>
      <c r="C56" s="159" t="s">
        <v>34</v>
      </c>
      <c r="D56" s="159" t="s">
        <v>35</v>
      </c>
      <c r="E56" s="160">
        <v>6</v>
      </c>
      <c r="F56" s="161" t="s">
        <v>2463</v>
      </c>
      <c r="G56" s="161" t="s">
        <v>2460</v>
      </c>
      <c r="H56" s="170">
        <f>SUM(5*6)</f>
        <v>30</v>
      </c>
      <c r="I56" s="159" t="s">
        <v>20</v>
      </c>
      <c r="J56" s="159" t="s">
        <v>21</v>
      </c>
      <c r="K56" s="158">
        <v>45444</v>
      </c>
      <c r="L56" s="159" t="s">
        <v>20</v>
      </c>
      <c r="M56" s="161" t="s">
        <v>2394</v>
      </c>
    </row>
    <row r="57" spans="1:13" ht="51">
      <c r="A57" s="156">
        <v>34</v>
      </c>
      <c r="B57" s="115" t="s">
        <v>2465</v>
      </c>
      <c r="C57" s="156" t="s">
        <v>34</v>
      </c>
      <c r="D57" s="156" t="s">
        <v>35</v>
      </c>
      <c r="E57" s="115">
        <v>24</v>
      </c>
      <c r="F57" s="135" t="s">
        <v>2466</v>
      </c>
      <c r="G57" s="135" t="s">
        <v>2446</v>
      </c>
      <c r="H57" s="169">
        <f>SUM(6*24)</f>
        <v>144</v>
      </c>
      <c r="I57" s="156" t="s">
        <v>20</v>
      </c>
      <c r="J57" s="156" t="s">
        <v>21</v>
      </c>
      <c r="K57" s="158">
        <v>45444</v>
      </c>
      <c r="L57" s="156" t="s">
        <v>20</v>
      </c>
      <c r="M57" s="135" t="s">
        <v>2394</v>
      </c>
    </row>
    <row r="58" spans="1:13" ht="51">
      <c r="A58" s="159" t="s">
        <v>2395</v>
      </c>
      <c r="B58" s="160" t="s">
        <v>2465</v>
      </c>
      <c r="C58" s="159" t="s">
        <v>34</v>
      </c>
      <c r="D58" s="159" t="s">
        <v>35</v>
      </c>
      <c r="E58" s="160">
        <v>24</v>
      </c>
      <c r="F58" s="161" t="s">
        <v>2466</v>
      </c>
      <c r="G58" s="161" t="s">
        <v>2446</v>
      </c>
      <c r="H58" s="170">
        <f>SUM(6*24)</f>
        <v>144</v>
      </c>
      <c r="I58" s="159" t="s">
        <v>20</v>
      </c>
      <c r="J58" s="159" t="s">
        <v>21</v>
      </c>
      <c r="K58" s="158">
        <v>45444</v>
      </c>
      <c r="L58" s="159" t="s">
        <v>20</v>
      </c>
      <c r="M58" s="161" t="s">
        <v>2394</v>
      </c>
    </row>
    <row r="59" spans="1:13" ht="51">
      <c r="A59" s="156">
        <v>35</v>
      </c>
      <c r="B59" s="115" t="s">
        <v>2467</v>
      </c>
      <c r="C59" s="156" t="s">
        <v>34</v>
      </c>
      <c r="D59" s="156" t="s">
        <v>35</v>
      </c>
      <c r="E59" s="115">
        <v>48</v>
      </c>
      <c r="F59" s="135" t="s">
        <v>2457</v>
      </c>
      <c r="G59" s="135" t="s">
        <v>2446</v>
      </c>
      <c r="H59" s="169">
        <f>SUM(1*48)</f>
        <v>48</v>
      </c>
      <c r="I59" s="156" t="s">
        <v>20</v>
      </c>
      <c r="J59" s="156" t="s">
        <v>21</v>
      </c>
      <c r="K59" s="158">
        <v>45444</v>
      </c>
      <c r="L59" s="156" t="s">
        <v>20</v>
      </c>
      <c r="M59" s="135" t="s">
        <v>2394</v>
      </c>
    </row>
    <row r="60" spans="1:13" ht="51">
      <c r="A60" s="159" t="s">
        <v>2395</v>
      </c>
      <c r="B60" s="160" t="s">
        <v>2467</v>
      </c>
      <c r="C60" s="159" t="s">
        <v>34</v>
      </c>
      <c r="D60" s="159" t="s">
        <v>35</v>
      </c>
      <c r="E60" s="160">
        <v>48</v>
      </c>
      <c r="F60" s="161" t="s">
        <v>2457</v>
      </c>
      <c r="G60" s="161" t="s">
        <v>2446</v>
      </c>
      <c r="H60" s="170">
        <f>SUM(1*48)</f>
        <v>48</v>
      </c>
      <c r="I60" s="159" t="s">
        <v>20</v>
      </c>
      <c r="J60" s="159" t="s">
        <v>21</v>
      </c>
      <c r="K60" s="158">
        <v>45444</v>
      </c>
      <c r="L60" s="159" t="s">
        <v>20</v>
      </c>
      <c r="M60" s="161" t="s">
        <v>2394</v>
      </c>
    </row>
    <row r="61" spans="1:13" ht="51">
      <c r="A61" s="163">
        <v>36</v>
      </c>
      <c r="B61" s="164" t="s">
        <v>2468</v>
      </c>
      <c r="C61" s="163" t="s">
        <v>25</v>
      </c>
      <c r="D61" s="163" t="s">
        <v>17</v>
      </c>
      <c r="E61" s="164">
        <v>24</v>
      </c>
      <c r="F61" s="165" t="s">
        <v>2469</v>
      </c>
      <c r="G61" s="165" t="s">
        <v>2470</v>
      </c>
      <c r="H61" s="157">
        <f>SUM(1320*24)</f>
        <v>31680</v>
      </c>
      <c r="I61" s="163" t="s">
        <v>20</v>
      </c>
      <c r="J61" s="163" t="s">
        <v>21</v>
      </c>
      <c r="K61" s="158">
        <v>45444</v>
      </c>
      <c r="L61" s="163" t="s">
        <v>20</v>
      </c>
      <c r="M61" s="165" t="s">
        <v>2394</v>
      </c>
    </row>
    <row r="62" spans="1:13" ht="51">
      <c r="A62" s="163">
        <v>37</v>
      </c>
      <c r="B62" s="165" t="s">
        <v>2471</v>
      </c>
      <c r="C62" s="163" t="s">
        <v>25</v>
      </c>
      <c r="D62" s="163" t="s">
        <v>17</v>
      </c>
      <c r="E62" s="164">
        <v>24</v>
      </c>
      <c r="F62" s="165" t="s">
        <v>2469</v>
      </c>
      <c r="G62" s="165" t="s">
        <v>2470</v>
      </c>
      <c r="H62" s="157">
        <f>SUM(1500*24)</f>
        <v>36000</v>
      </c>
      <c r="I62" s="163" t="s">
        <v>20</v>
      </c>
      <c r="J62" s="163" t="s">
        <v>21</v>
      </c>
      <c r="K62" s="158">
        <v>45444</v>
      </c>
      <c r="L62" s="156" t="s">
        <v>20</v>
      </c>
      <c r="M62" s="135" t="s">
        <v>2394</v>
      </c>
    </row>
    <row r="63" spans="1:13" ht="51">
      <c r="A63" s="163">
        <v>38</v>
      </c>
      <c r="B63" s="165" t="s">
        <v>2472</v>
      </c>
      <c r="C63" s="163" t="s">
        <v>25</v>
      </c>
      <c r="D63" s="163" t="s">
        <v>246</v>
      </c>
      <c r="E63" s="164">
        <v>24</v>
      </c>
      <c r="F63" s="165" t="s">
        <v>2452</v>
      </c>
      <c r="G63" s="165" t="s">
        <v>2470</v>
      </c>
      <c r="H63" s="157">
        <f>SUM(5000*12)</f>
        <v>60000</v>
      </c>
      <c r="I63" s="163" t="s">
        <v>20</v>
      </c>
      <c r="J63" s="163" t="s">
        <v>21</v>
      </c>
      <c r="K63" s="158">
        <v>45444</v>
      </c>
      <c r="L63" s="163" t="s">
        <v>20</v>
      </c>
      <c r="M63" s="165" t="s">
        <v>2394</v>
      </c>
    </row>
    <row r="64" spans="1:13" ht="51">
      <c r="A64" s="163">
        <v>39</v>
      </c>
      <c r="B64" s="164" t="s">
        <v>2473</v>
      </c>
      <c r="C64" s="163" t="s">
        <v>25</v>
      </c>
      <c r="D64" s="163" t="s">
        <v>17</v>
      </c>
      <c r="E64" s="164">
        <v>12</v>
      </c>
      <c r="F64" s="165" t="s">
        <v>2474</v>
      </c>
      <c r="G64" s="165" t="s">
        <v>232</v>
      </c>
      <c r="H64" s="157">
        <f>SUM(1000*18)</f>
        <v>18000</v>
      </c>
      <c r="I64" s="163" t="s">
        <v>20</v>
      </c>
      <c r="J64" s="163" t="s">
        <v>21</v>
      </c>
      <c r="K64" s="158">
        <v>45444</v>
      </c>
      <c r="L64" s="156" t="s">
        <v>20</v>
      </c>
      <c r="M64" s="135" t="s">
        <v>2394</v>
      </c>
    </row>
    <row r="65" spans="1:13" ht="51">
      <c r="A65" s="163">
        <v>40</v>
      </c>
      <c r="B65" s="165" t="s">
        <v>2475</v>
      </c>
      <c r="C65" s="163" t="s">
        <v>25</v>
      </c>
      <c r="D65" s="163" t="s">
        <v>17</v>
      </c>
      <c r="E65" s="164">
        <v>12</v>
      </c>
      <c r="F65" s="165" t="s">
        <v>2474</v>
      </c>
      <c r="G65" s="165" t="s">
        <v>232</v>
      </c>
      <c r="H65" s="157">
        <f>SUM(2000*18)</f>
        <v>36000</v>
      </c>
      <c r="I65" s="163" t="s">
        <v>20</v>
      </c>
      <c r="J65" s="163" t="s">
        <v>21</v>
      </c>
      <c r="K65" s="158">
        <v>45444</v>
      </c>
      <c r="L65" s="156" t="s">
        <v>20</v>
      </c>
      <c r="M65" s="135" t="s">
        <v>2394</v>
      </c>
    </row>
    <row r="66" spans="1:13" ht="51">
      <c r="A66" s="163">
        <v>41</v>
      </c>
      <c r="B66" s="165" t="s">
        <v>2476</v>
      </c>
      <c r="C66" s="163" t="s">
        <v>25</v>
      </c>
      <c r="D66" s="163" t="s">
        <v>246</v>
      </c>
      <c r="E66" s="164">
        <v>12</v>
      </c>
      <c r="F66" s="165" t="s">
        <v>2452</v>
      </c>
      <c r="G66" s="165" t="s">
        <v>232</v>
      </c>
      <c r="H66" s="157">
        <f>SUM(1200*12)</f>
        <v>14400</v>
      </c>
      <c r="I66" s="163" t="s">
        <v>20</v>
      </c>
      <c r="J66" s="163" t="s">
        <v>21</v>
      </c>
      <c r="K66" s="158">
        <v>45444</v>
      </c>
      <c r="L66" s="163" t="s">
        <v>20</v>
      </c>
      <c r="M66" s="165" t="s">
        <v>2394</v>
      </c>
    </row>
    <row r="67" spans="1:13" ht="153">
      <c r="A67" s="163">
        <v>42</v>
      </c>
      <c r="B67" s="165" t="s">
        <v>2477</v>
      </c>
      <c r="C67" s="163" t="s">
        <v>34</v>
      </c>
      <c r="D67" s="163" t="s">
        <v>246</v>
      </c>
      <c r="E67" s="164">
        <v>4</v>
      </c>
      <c r="F67" s="165" t="s">
        <v>2478</v>
      </c>
      <c r="G67" s="165" t="s">
        <v>2479</v>
      </c>
      <c r="H67" s="157">
        <v>25000</v>
      </c>
      <c r="I67" s="163" t="s">
        <v>20</v>
      </c>
      <c r="J67" s="163" t="s">
        <v>21</v>
      </c>
      <c r="K67" s="158">
        <v>45444</v>
      </c>
      <c r="L67" s="163" t="s">
        <v>20</v>
      </c>
      <c r="M67" s="165" t="s">
        <v>2394</v>
      </c>
    </row>
    <row r="68" spans="1:13" ht="51">
      <c r="A68" s="163">
        <v>43</v>
      </c>
      <c r="B68" s="165" t="s">
        <v>2480</v>
      </c>
      <c r="C68" s="163" t="s">
        <v>25</v>
      </c>
      <c r="D68" s="163" t="s">
        <v>246</v>
      </c>
      <c r="E68" s="164">
        <v>12</v>
      </c>
      <c r="F68" s="165" t="s">
        <v>2474</v>
      </c>
      <c r="G68" s="165" t="s">
        <v>232</v>
      </c>
      <c r="H68" s="157">
        <f>SUM(1800*18)</f>
        <v>32400</v>
      </c>
      <c r="I68" s="163" t="s">
        <v>20</v>
      </c>
      <c r="J68" s="163" t="s">
        <v>21</v>
      </c>
      <c r="K68" s="158">
        <v>45444</v>
      </c>
      <c r="L68" s="163" t="s">
        <v>20</v>
      </c>
      <c r="M68" s="165" t="s">
        <v>2394</v>
      </c>
    </row>
    <row r="69" spans="1:13" ht="51">
      <c r="A69" s="163">
        <v>44</v>
      </c>
      <c r="B69" s="165" t="s">
        <v>2481</v>
      </c>
      <c r="C69" s="163" t="s">
        <v>25</v>
      </c>
      <c r="D69" s="163" t="s">
        <v>17</v>
      </c>
      <c r="E69" s="164">
        <v>12</v>
      </c>
      <c r="F69" s="165" t="s">
        <v>2482</v>
      </c>
      <c r="G69" s="165" t="s">
        <v>2483</v>
      </c>
      <c r="H69" s="157">
        <f>SUM(45000*12)</f>
        <v>540000</v>
      </c>
      <c r="I69" s="163" t="s">
        <v>20</v>
      </c>
      <c r="J69" s="163" t="s">
        <v>21</v>
      </c>
      <c r="K69" s="158">
        <v>45444</v>
      </c>
      <c r="L69" s="156" t="s">
        <v>20</v>
      </c>
      <c r="M69" s="135" t="s">
        <v>2394</v>
      </c>
    </row>
  </sheetData>
  <pageMargins left="0.511811024" right="0.511811024" top="0.78740157499999996" bottom="0.78740157499999996" header="0.31496062000000002" footer="0.3149606200000000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A0C9E-D0B1-40CD-9AAC-D1FAAC998BB8}">
  <dimension ref="A1:N197"/>
  <sheetViews>
    <sheetView workbookViewId="0">
      <selection activeCell="I2" sqref="I2"/>
    </sheetView>
  </sheetViews>
  <sheetFormatPr defaultRowHeight="15"/>
  <cols>
    <col min="2" max="2" width="46" customWidth="1"/>
    <col min="9" max="9" width="16.85546875" customWidth="1"/>
    <col min="12" max="12" width="15.85546875" customWidth="1"/>
  </cols>
  <sheetData>
    <row r="1" spans="1:14" ht="75">
      <c r="A1" s="2" t="s">
        <v>0</v>
      </c>
      <c r="B1" s="2" t="s">
        <v>9</v>
      </c>
      <c r="C1" s="2" t="s">
        <v>10</v>
      </c>
      <c r="D1" s="2" t="s">
        <v>1</v>
      </c>
      <c r="E1" s="2" t="s">
        <v>11</v>
      </c>
      <c r="F1" s="2" t="s">
        <v>8</v>
      </c>
      <c r="G1" s="2" t="s">
        <v>2</v>
      </c>
      <c r="H1" s="2" t="s">
        <v>15</v>
      </c>
      <c r="I1" s="2" t="s">
        <v>3</v>
      </c>
      <c r="J1" s="2" t="s">
        <v>4</v>
      </c>
      <c r="K1" s="2" t="s">
        <v>5</v>
      </c>
      <c r="L1" s="2" t="s">
        <v>6</v>
      </c>
      <c r="M1" s="2" t="s">
        <v>7</v>
      </c>
      <c r="N1" s="2" t="s">
        <v>12</v>
      </c>
    </row>
    <row r="2" spans="1:14" ht="75">
      <c r="A2" s="3">
        <v>1</v>
      </c>
      <c r="B2" s="3" t="s">
        <v>24</v>
      </c>
      <c r="C2" s="3" t="s">
        <v>25</v>
      </c>
      <c r="D2" s="3" t="s">
        <v>17</v>
      </c>
      <c r="E2" s="11">
        <v>19800</v>
      </c>
      <c r="F2" s="3" t="s">
        <v>22</v>
      </c>
      <c r="G2" s="3" t="s">
        <v>27</v>
      </c>
      <c r="H2" s="5">
        <v>139.32</v>
      </c>
      <c r="I2" s="5">
        <f>E2*H2</f>
        <v>2758536</v>
      </c>
      <c r="J2" s="3" t="s">
        <v>20</v>
      </c>
      <c r="K2" s="3" t="s">
        <v>21</v>
      </c>
      <c r="L2" s="4">
        <v>45582</v>
      </c>
      <c r="M2" s="3" t="s">
        <v>28</v>
      </c>
      <c r="N2" s="3" t="s">
        <v>13</v>
      </c>
    </row>
    <row r="3" spans="1:14" ht="75">
      <c r="A3" s="3">
        <v>2</v>
      </c>
      <c r="B3" s="3" t="s">
        <v>302</v>
      </c>
      <c r="C3" s="3" t="s">
        <v>34</v>
      </c>
      <c r="D3" s="3" t="s">
        <v>168</v>
      </c>
      <c r="E3" s="11">
        <v>1</v>
      </c>
      <c r="F3" s="3" t="s">
        <v>33</v>
      </c>
      <c r="G3" s="3" t="s">
        <v>226</v>
      </c>
      <c r="H3" s="5">
        <v>1500000</v>
      </c>
      <c r="I3" s="5">
        <f>E3*H3</f>
        <v>1500000</v>
      </c>
      <c r="J3" s="3" t="s">
        <v>20</v>
      </c>
      <c r="K3" s="3" t="s">
        <v>36</v>
      </c>
      <c r="L3" s="4">
        <v>45627</v>
      </c>
      <c r="M3" s="3" t="s">
        <v>20</v>
      </c>
      <c r="N3" s="3" t="s">
        <v>13</v>
      </c>
    </row>
    <row r="4" spans="1:14" ht="90">
      <c r="A4" s="3">
        <v>3</v>
      </c>
      <c r="B4" s="3" t="s">
        <v>271</v>
      </c>
      <c r="C4" s="3" t="s">
        <v>244</v>
      </c>
      <c r="D4" s="3" t="s">
        <v>246</v>
      </c>
      <c r="E4" s="11">
        <v>1</v>
      </c>
      <c r="F4" s="3" t="s">
        <v>33</v>
      </c>
      <c r="G4" s="3" t="s">
        <v>229</v>
      </c>
      <c r="H4" s="5">
        <v>200000</v>
      </c>
      <c r="I4" s="5">
        <f>E4*H4</f>
        <v>200000</v>
      </c>
      <c r="J4" s="3" t="s">
        <v>20</v>
      </c>
      <c r="K4" s="3" t="s">
        <v>21</v>
      </c>
      <c r="L4" s="4">
        <v>45170</v>
      </c>
      <c r="M4" s="3" t="s">
        <v>20</v>
      </c>
      <c r="N4" s="3" t="s">
        <v>13</v>
      </c>
    </row>
    <row r="5" spans="1:14" ht="75">
      <c r="A5" s="3">
        <v>4</v>
      </c>
      <c r="B5" s="3" t="s">
        <v>278</v>
      </c>
      <c r="C5" s="3" t="s">
        <v>241</v>
      </c>
      <c r="D5" s="3" t="s">
        <v>246</v>
      </c>
      <c r="E5" s="11">
        <v>1</v>
      </c>
      <c r="F5" s="3" t="s">
        <v>33</v>
      </c>
      <c r="G5" s="3" t="s">
        <v>219</v>
      </c>
      <c r="H5" s="5">
        <v>60000</v>
      </c>
      <c r="I5" s="5">
        <v>60000</v>
      </c>
      <c r="J5" s="3" t="s">
        <v>20</v>
      </c>
      <c r="K5" s="3" t="s">
        <v>36</v>
      </c>
      <c r="L5" s="4">
        <v>45627</v>
      </c>
      <c r="M5" s="3" t="s">
        <v>20</v>
      </c>
      <c r="N5" s="3" t="s">
        <v>13</v>
      </c>
    </row>
    <row r="6" spans="1:14" ht="120">
      <c r="A6" s="3">
        <v>5</v>
      </c>
      <c r="B6" s="3" t="s">
        <v>30</v>
      </c>
      <c r="C6" s="3" t="s">
        <v>26</v>
      </c>
      <c r="D6" s="3" t="s">
        <v>17</v>
      </c>
      <c r="E6" s="11">
        <v>4800</v>
      </c>
      <c r="F6" s="3" t="s">
        <v>32</v>
      </c>
      <c r="G6" s="3" t="s">
        <v>250</v>
      </c>
      <c r="H6" s="5">
        <v>1.19556</v>
      </c>
      <c r="I6" s="5">
        <f t="shared" ref="I6:I69" si="0">E6*H6</f>
        <v>5738.6880000000001</v>
      </c>
      <c r="J6" s="3" t="s">
        <v>20</v>
      </c>
      <c r="K6" s="3" t="s">
        <v>21</v>
      </c>
      <c r="L6" s="4">
        <v>45481</v>
      </c>
      <c r="M6" s="3" t="s">
        <v>29</v>
      </c>
      <c r="N6" s="3" t="s">
        <v>13</v>
      </c>
    </row>
    <row r="7" spans="1:14" ht="120">
      <c r="A7" s="3">
        <v>6</v>
      </c>
      <c r="B7" s="3" t="s">
        <v>31</v>
      </c>
      <c r="C7" s="3" t="s">
        <v>26</v>
      </c>
      <c r="D7" s="3" t="s">
        <v>17</v>
      </c>
      <c r="E7" s="11">
        <v>24000</v>
      </c>
      <c r="F7" s="3" t="s">
        <v>32</v>
      </c>
      <c r="G7" s="3" t="s">
        <v>250</v>
      </c>
      <c r="H7" s="5">
        <v>0.130248</v>
      </c>
      <c r="I7" s="5">
        <f t="shared" si="0"/>
        <v>3125.9520000000002</v>
      </c>
      <c r="J7" s="3" t="s">
        <v>20</v>
      </c>
      <c r="K7" s="3" t="s">
        <v>21</v>
      </c>
      <c r="L7" s="4">
        <v>45481</v>
      </c>
      <c r="M7" s="3" t="s">
        <v>29</v>
      </c>
      <c r="N7" s="3" t="s">
        <v>13</v>
      </c>
    </row>
    <row r="8" spans="1:14" ht="75">
      <c r="A8" s="3">
        <v>7</v>
      </c>
      <c r="B8" s="3" t="s">
        <v>16</v>
      </c>
      <c r="C8" s="3" t="s">
        <v>26</v>
      </c>
      <c r="D8" s="3" t="s">
        <v>17</v>
      </c>
      <c r="E8" s="11">
        <v>12</v>
      </c>
      <c r="F8" s="3" t="s">
        <v>18</v>
      </c>
      <c r="G8" s="3" t="s">
        <v>19</v>
      </c>
      <c r="H8" s="5">
        <v>89.586000000000013</v>
      </c>
      <c r="I8" s="5">
        <f t="shared" si="0"/>
        <v>1075.0320000000002</v>
      </c>
      <c r="J8" s="3" t="s">
        <v>20</v>
      </c>
      <c r="K8" s="3" t="s">
        <v>21</v>
      </c>
      <c r="L8" s="4">
        <v>45297</v>
      </c>
      <c r="M8" s="3" t="s">
        <v>23</v>
      </c>
      <c r="N8" s="3" t="s">
        <v>13</v>
      </c>
    </row>
    <row r="9" spans="1:14" ht="75">
      <c r="A9" s="3">
        <v>8</v>
      </c>
      <c r="B9" s="3" t="s">
        <v>134</v>
      </c>
      <c r="C9" s="3" t="s">
        <v>26</v>
      </c>
      <c r="D9" s="3" t="s">
        <v>168</v>
      </c>
      <c r="E9" s="11">
        <v>8</v>
      </c>
      <c r="F9" s="3" t="s">
        <v>33</v>
      </c>
      <c r="G9" s="3" t="s">
        <v>227</v>
      </c>
      <c r="H9" s="5">
        <f xml:space="preserve"> 3000</f>
        <v>3000</v>
      </c>
      <c r="I9" s="5">
        <f t="shared" si="0"/>
        <v>24000</v>
      </c>
      <c r="J9" s="3" t="s">
        <v>20</v>
      </c>
      <c r="K9" s="3" t="s">
        <v>21</v>
      </c>
      <c r="L9" s="4">
        <v>45292</v>
      </c>
      <c r="M9" s="3" t="s">
        <v>20</v>
      </c>
      <c r="N9" s="3" t="s">
        <v>13</v>
      </c>
    </row>
    <row r="10" spans="1:14" ht="75">
      <c r="A10" s="3">
        <v>9</v>
      </c>
      <c r="B10" s="3" t="s">
        <v>133</v>
      </c>
      <c r="C10" s="3" t="s">
        <v>26</v>
      </c>
      <c r="D10" s="3" t="s">
        <v>168</v>
      </c>
      <c r="E10" s="11">
        <v>2</v>
      </c>
      <c r="F10" s="3" t="s">
        <v>33</v>
      </c>
      <c r="G10" s="3" t="s">
        <v>227</v>
      </c>
      <c r="H10" s="5">
        <v>800</v>
      </c>
      <c r="I10" s="5">
        <f t="shared" si="0"/>
        <v>1600</v>
      </c>
      <c r="J10" s="3" t="s">
        <v>20</v>
      </c>
      <c r="K10" s="3" t="s">
        <v>21</v>
      </c>
      <c r="L10" s="4">
        <v>45292</v>
      </c>
      <c r="M10" s="3" t="s">
        <v>20</v>
      </c>
      <c r="N10" s="3" t="s">
        <v>13</v>
      </c>
    </row>
    <row r="11" spans="1:14" ht="75">
      <c r="A11" s="3">
        <v>10</v>
      </c>
      <c r="B11" s="3" t="s">
        <v>254</v>
      </c>
      <c r="C11" s="3" t="s">
        <v>34</v>
      </c>
      <c r="D11" s="3" t="s">
        <v>168</v>
      </c>
      <c r="E11" s="11">
        <v>10</v>
      </c>
      <c r="F11" s="3" t="s">
        <v>33</v>
      </c>
      <c r="G11" s="3" t="s">
        <v>227</v>
      </c>
      <c r="H11" s="5">
        <v>61.84</v>
      </c>
      <c r="I11" s="5">
        <f t="shared" si="0"/>
        <v>618.40000000000009</v>
      </c>
      <c r="J11" s="3" t="s">
        <v>20</v>
      </c>
      <c r="K11" s="3" t="s">
        <v>169</v>
      </c>
      <c r="L11" s="4">
        <v>45323</v>
      </c>
      <c r="M11" s="3" t="s">
        <v>20</v>
      </c>
      <c r="N11" s="3" t="s">
        <v>13</v>
      </c>
    </row>
    <row r="12" spans="1:14" ht="75">
      <c r="A12" s="3">
        <v>11</v>
      </c>
      <c r="B12" s="3" t="s">
        <v>253</v>
      </c>
      <c r="C12" s="3" t="s">
        <v>34</v>
      </c>
      <c r="D12" s="3" t="s">
        <v>168</v>
      </c>
      <c r="E12" s="11">
        <v>10</v>
      </c>
      <c r="F12" s="3" t="s">
        <v>33</v>
      </c>
      <c r="G12" s="3" t="s">
        <v>227</v>
      </c>
      <c r="H12" s="5">
        <v>33</v>
      </c>
      <c r="I12" s="5">
        <f t="shared" si="0"/>
        <v>330</v>
      </c>
      <c r="J12" s="3" t="s">
        <v>20</v>
      </c>
      <c r="K12" s="3" t="s">
        <v>169</v>
      </c>
      <c r="L12" s="4">
        <v>45323</v>
      </c>
      <c r="M12" s="3" t="s">
        <v>20</v>
      </c>
      <c r="N12" s="3" t="s">
        <v>13</v>
      </c>
    </row>
    <row r="13" spans="1:14" ht="75">
      <c r="A13" s="3">
        <v>12</v>
      </c>
      <c r="B13" s="3" t="s">
        <v>165</v>
      </c>
      <c r="C13" s="3" t="s">
        <v>34</v>
      </c>
      <c r="D13" s="3" t="s">
        <v>168</v>
      </c>
      <c r="E13" s="11">
        <v>5</v>
      </c>
      <c r="F13" s="3" t="s">
        <v>33</v>
      </c>
      <c r="G13" s="3" t="s">
        <v>227</v>
      </c>
      <c r="H13" s="5">
        <v>39.94</v>
      </c>
      <c r="I13" s="5">
        <f t="shared" si="0"/>
        <v>199.7</v>
      </c>
      <c r="J13" s="3" t="s">
        <v>20</v>
      </c>
      <c r="K13" s="3" t="s">
        <v>36</v>
      </c>
      <c r="L13" s="4">
        <v>45597</v>
      </c>
      <c r="M13" s="3" t="s">
        <v>20</v>
      </c>
      <c r="N13" s="3" t="s">
        <v>13</v>
      </c>
    </row>
    <row r="14" spans="1:14" ht="75">
      <c r="A14" s="3">
        <v>13</v>
      </c>
      <c r="B14" s="3" t="s">
        <v>159</v>
      </c>
      <c r="C14" s="3" t="s">
        <v>34</v>
      </c>
      <c r="D14" s="3" t="s">
        <v>168</v>
      </c>
      <c r="E14" s="11">
        <v>3</v>
      </c>
      <c r="F14" s="3" t="s">
        <v>33</v>
      </c>
      <c r="G14" s="3" t="s">
        <v>227</v>
      </c>
      <c r="H14" s="5">
        <v>99</v>
      </c>
      <c r="I14" s="5">
        <f t="shared" si="0"/>
        <v>297</v>
      </c>
      <c r="J14" s="3" t="s">
        <v>20</v>
      </c>
      <c r="K14" s="3" t="s">
        <v>36</v>
      </c>
      <c r="L14" s="4">
        <v>45597</v>
      </c>
      <c r="M14" s="3" t="s">
        <v>20</v>
      </c>
      <c r="N14" s="3" t="s">
        <v>13</v>
      </c>
    </row>
    <row r="15" spans="1:14" ht="75">
      <c r="A15" s="3">
        <v>14</v>
      </c>
      <c r="B15" s="3" t="s">
        <v>267</v>
      </c>
      <c r="C15" s="3" t="s">
        <v>34</v>
      </c>
      <c r="D15" s="3" t="s">
        <v>35</v>
      </c>
      <c r="E15" s="11">
        <v>50</v>
      </c>
      <c r="F15" s="3" t="s">
        <v>268</v>
      </c>
      <c r="G15" s="3" t="s">
        <v>227</v>
      </c>
      <c r="H15" s="5">
        <v>2.99</v>
      </c>
      <c r="I15" s="5">
        <f t="shared" si="0"/>
        <v>149.5</v>
      </c>
      <c r="J15" s="3" t="s">
        <v>20</v>
      </c>
      <c r="K15" s="3" t="s">
        <v>36</v>
      </c>
      <c r="L15" s="4">
        <v>45597</v>
      </c>
      <c r="M15" s="3" t="s">
        <v>20</v>
      </c>
      <c r="N15" s="3" t="s">
        <v>13</v>
      </c>
    </row>
    <row r="16" spans="1:14" ht="75">
      <c r="A16" s="3">
        <v>15</v>
      </c>
      <c r="B16" s="3" t="s">
        <v>174</v>
      </c>
      <c r="C16" s="3" t="s">
        <v>26</v>
      </c>
      <c r="D16" s="3" t="s">
        <v>168</v>
      </c>
      <c r="E16" s="11">
        <v>2</v>
      </c>
      <c r="F16" s="3" t="s">
        <v>33</v>
      </c>
      <c r="G16" s="3" t="s">
        <v>227</v>
      </c>
      <c r="H16" s="5">
        <v>3959.99</v>
      </c>
      <c r="I16" s="5">
        <f t="shared" si="0"/>
        <v>7919.98</v>
      </c>
      <c r="J16" s="3" t="s">
        <v>20</v>
      </c>
      <c r="K16" s="3" t="s">
        <v>21</v>
      </c>
      <c r="L16" s="4">
        <v>45627</v>
      </c>
      <c r="M16" s="3" t="s">
        <v>20</v>
      </c>
      <c r="N16" s="3" t="s">
        <v>13</v>
      </c>
    </row>
    <row r="17" spans="1:14" ht="75">
      <c r="A17" s="3">
        <v>16</v>
      </c>
      <c r="B17" s="3" t="s">
        <v>158</v>
      </c>
      <c r="C17" s="3" t="s">
        <v>26</v>
      </c>
      <c r="D17" s="3" t="s">
        <v>168</v>
      </c>
      <c r="E17" s="11">
        <v>4</v>
      </c>
      <c r="F17" s="3" t="s">
        <v>33</v>
      </c>
      <c r="G17" s="3" t="s">
        <v>227</v>
      </c>
      <c r="H17" s="5">
        <v>279</v>
      </c>
      <c r="I17" s="5">
        <f t="shared" si="0"/>
        <v>1116</v>
      </c>
      <c r="J17" s="3" t="s">
        <v>20</v>
      </c>
      <c r="K17" s="3" t="s">
        <v>36</v>
      </c>
      <c r="L17" s="4">
        <v>45597</v>
      </c>
      <c r="M17" s="3" t="s">
        <v>20</v>
      </c>
      <c r="N17" s="3" t="s">
        <v>13</v>
      </c>
    </row>
    <row r="18" spans="1:14" ht="75">
      <c r="A18" s="3">
        <v>17</v>
      </c>
      <c r="B18" s="3" t="s">
        <v>243</v>
      </c>
      <c r="C18" s="3" t="s">
        <v>26</v>
      </c>
      <c r="D18" s="3" t="s">
        <v>168</v>
      </c>
      <c r="E18" s="11">
        <v>1</v>
      </c>
      <c r="F18" s="3" t="s">
        <v>33</v>
      </c>
      <c r="G18" s="3" t="s">
        <v>227</v>
      </c>
      <c r="H18" s="5">
        <v>699</v>
      </c>
      <c r="I18" s="5">
        <f t="shared" si="0"/>
        <v>699</v>
      </c>
      <c r="J18" s="3" t="s">
        <v>20</v>
      </c>
      <c r="K18" s="3" t="s">
        <v>36</v>
      </c>
      <c r="L18" s="4">
        <v>45627</v>
      </c>
      <c r="M18" s="3" t="s">
        <v>20</v>
      </c>
      <c r="N18" s="3" t="s">
        <v>13</v>
      </c>
    </row>
    <row r="19" spans="1:14" ht="75">
      <c r="A19" s="3">
        <v>18</v>
      </c>
      <c r="B19" s="3" t="s">
        <v>252</v>
      </c>
      <c r="C19" s="3" t="s">
        <v>26</v>
      </c>
      <c r="D19" s="3" t="s">
        <v>168</v>
      </c>
      <c r="E19" s="11">
        <v>3</v>
      </c>
      <c r="F19" s="3" t="s">
        <v>33</v>
      </c>
      <c r="G19" s="3" t="s">
        <v>19</v>
      </c>
      <c r="H19" s="5">
        <f xml:space="preserve"> 200</f>
        <v>200</v>
      </c>
      <c r="I19" s="5">
        <f t="shared" si="0"/>
        <v>600</v>
      </c>
      <c r="J19" s="3" t="s">
        <v>20</v>
      </c>
      <c r="K19" s="3" t="s">
        <v>36</v>
      </c>
      <c r="L19" s="4">
        <v>45597</v>
      </c>
      <c r="M19" s="3" t="s">
        <v>20</v>
      </c>
      <c r="N19" s="3" t="s">
        <v>13</v>
      </c>
    </row>
    <row r="20" spans="1:14" ht="75">
      <c r="A20" s="3">
        <v>19</v>
      </c>
      <c r="B20" s="3" t="s">
        <v>178</v>
      </c>
      <c r="C20" s="3" t="s">
        <v>25</v>
      </c>
      <c r="D20" s="3" t="s">
        <v>246</v>
      </c>
      <c r="E20" s="11">
        <v>1</v>
      </c>
      <c r="F20" s="3" t="s">
        <v>33</v>
      </c>
      <c r="G20" s="3" t="s">
        <v>231</v>
      </c>
      <c r="H20" s="5">
        <v>15000</v>
      </c>
      <c r="I20" s="5">
        <f t="shared" si="0"/>
        <v>15000</v>
      </c>
      <c r="J20" s="3" t="s">
        <v>20</v>
      </c>
      <c r="K20" s="3" t="s">
        <v>21</v>
      </c>
      <c r="L20" s="4">
        <v>45505</v>
      </c>
      <c r="M20" s="3" t="s">
        <v>20</v>
      </c>
      <c r="N20" s="3" t="s">
        <v>13</v>
      </c>
    </row>
    <row r="21" spans="1:14" ht="75">
      <c r="A21" s="3">
        <v>20</v>
      </c>
      <c r="B21" s="3" t="s">
        <v>180</v>
      </c>
      <c r="C21" s="3" t="s">
        <v>25</v>
      </c>
      <c r="D21" s="3" t="s">
        <v>246</v>
      </c>
      <c r="E21" s="11">
        <v>10</v>
      </c>
      <c r="F21" s="3" t="s">
        <v>33</v>
      </c>
      <c r="G21" s="3" t="s">
        <v>232</v>
      </c>
      <c r="H21" s="5">
        <v>550</v>
      </c>
      <c r="I21" s="5">
        <f t="shared" si="0"/>
        <v>5500</v>
      </c>
      <c r="J21" s="3" t="s">
        <v>20</v>
      </c>
      <c r="K21" s="3" t="s">
        <v>169</v>
      </c>
      <c r="L21" s="4">
        <v>45352</v>
      </c>
      <c r="M21" s="3" t="s">
        <v>20</v>
      </c>
      <c r="N21" s="3" t="s">
        <v>13</v>
      </c>
    </row>
    <row r="22" spans="1:14" ht="75">
      <c r="A22" s="3">
        <v>21</v>
      </c>
      <c r="B22" s="3" t="s">
        <v>272</v>
      </c>
      <c r="C22" s="3" t="s">
        <v>34</v>
      </c>
      <c r="D22" s="3" t="s">
        <v>35</v>
      </c>
      <c r="E22" s="11">
        <v>230</v>
      </c>
      <c r="F22" s="3" t="s">
        <v>33</v>
      </c>
      <c r="G22" s="3" t="s">
        <v>205</v>
      </c>
      <c r="H22" s="5">
        <v>14.191200000000002</v>
      </c>
      <c r="I22" s="5">
        <f t="shared" si="0"/>
        <v>3263.9760000000006</v>
      </c>
      <c r="J22" s="3" t="s">
        <v>20</v>
      </c>
      <c r="K22" s="3" t="s">
        <v>21</v>
      </c>
      <c r="L22" s="4">
        <v>45413</v>
      </c>
      <c r="M22" s="3" t="s">
        <v>20</v>
      </c>
      <c r="N22" s="3" t="s">
        <v>13</v>
      </c>
    </row>
    <row r="23" spans="1:14" ht="75">
      <c r="A23" s="3">
        <v>22</v>
      </c>
      <c r="B23" s="3" t="s">
        <v>273</v>
      </c>
      <c r="C23" s="3" t="s">
        <v>34</v>
      </c>
      <c r="D23" s="3" t="s">
        <v>35</v>
      </c>
      <c r="E23" s="11">
        <v>4</v>
      </c>
      <c r="F23" s="3" t="s">
        <v>33</v>
      </c>
      <c r="G23" s="3" t="s">
        <v>205</v>
      </c>
      <c r="H23" s="5">
        <v>21.060000000000002</v>
      </c>
      <c r="I23" s="5">
        <f t="shared" si="0"/>
        <v>84.240000000000009</v>
      </c>
      <c r="J23" s="3" t="s">
        <v>20</v>
      </c>
      <c r="K23" s="3" t="s">
        <v>36</v>
      </c>
      <c r="L23" s="4">
        <v>45413</v>
      </c>
      <c r="M23" s="3" t="s">
        <v>20</v>
      </c>
      <c r="N23" s="3" t="s">
        <v>13</v>
      </c>
    </row>
    <row r="24" spans="1:14" ht="75">
      <c r="A24" s="3">
        <v>23</v>
      </c>
      <c r="B24" s="3" t="s">
        <v>37</v>
      </c>
      <c r="C24" s="3" t="s">
        <v>34</v>
      </c>
      <c r="D24" s="3" t="s">
        <v>35</v>
      </c>
      <c r="E24" s="11">
        <v>4</v>
      </c>
      <c r="F24" s="3" t="s">
        <v>33</v>
      </c>
      <c r="G24" s="3" t="s">
        <v>206</v>
      </c>
      <c r="H24" s="5">
        <v>126.63000000000001</v>
      </c>
      <c r="I24" s="5">
        <f t="shared" si="0"/>
        <v>506.52000000000004</v>
      </c>
      <c r="J24" s="3" t="s">
        <v>20</v>
      </c>
      <c r="K24" s="3" t="s">
        <v>36</v>
      </c>
      <c r="L24" s="4">
        <v>45350</v>
      </c>
      <c r="M24" s="3" t="s">
        <v>20</v>
      </c>
      <c r="N24" s="3" t="s">
        <v>13</v>
      </c>
    </row>
    <row r="25" spans="1:14" ht="75">
      <c r="A25" s="3">
        <v>24</v>
      </c>
      <c r="B25" s="3" t="s">
        <v>155</v>
      </c>
      <c r="C25" s="3" t="s">
        <v>34</v>
      </c>
      <c r="D25" s="3" t="s">
        <v>168</v>
      </c>
      <c r="E25" s="11">
        <v>1</v>
      </c>
      <c r="F25" s="3" t="s">
        <v>33</v>
      </c>
      <c r="G25" s="3" t="s">
        <v>221</v>
      </c>
      <c r="H25" s="5">
        <f>156990</f>
        <v>156990</v>
      </c>
      <c r="I25" s="5">
        <f t="shared" si="0"/>
        <v>156990</v>
      </c>
      <c r="J25" s="3" t="s">
        <v>20</v>
      </c>
      <c r="K25" s="3" t="s">
        <v>21</v>
      </c>
      <c r="L25" s="4">
        <v>45505</v>
      </c>
      <c r="M25" s="3" t="s">
        <v>20</v>
      </c>
      <c r="N25" s="3" t="s">
        <v>13</v>
      </c>
    </row>
    <row r="26" spans="1:14" ht="75">
      <c r="A26" s="3">
        <v>25</v>
      </c>
      <c r="B26" s="3" t="s">
        <v>156</v>
      </c>
      <c r="C26" s="3" t="s">
        <v>34</v>
      </c>
      <c r="D26" s="3" t="s">
        <v>168</v>
      </c>
      <c r="E26" s="11">
        <v>1</v>
      </c>
      <c r="F26" s="3" t="s">
        <v>33</v>
      </c>
      <c r="G26" s="3" t="s">
        <v>221</v>
      </c>
      <c r="H26" s="5">
        <v>90000</v>
      </c>
      <c r="I26" s="5">
        <f t="shared" si="0"/>
        <v>90000</v>
      </c>
      <c r="J26" s="3" t="s">
        <v>20</v>
      </c>
      <c r="K26" s="3" t="s">
        <v>21</v>
      </c>
      <c r="L26" s="4">
        <v>45505</v>
      </c>
      <c r="M26" s="3" t="s">
        <v>20</v>
      </c>
      <c r="N26" s="3" t="s">
        <v>13</v>
      </c>
    </row>
    <row r="27" spans="1:14" ht="75">
      <c r="A27" s="3">
        <v>26</v>
      </c>
      <c r="B27" s="3" t="s">
        <v>39</v>
      </c>
      <c r="C27" s="3" t="s">
        <v>34</v>
      </c>
      <c r="D27" s="3" t="s">
        <v>35</v>
      </c>
      <c r="E27" s="11">
        <v>3000</v>
      </c>
      <c r="F27" s="3" t="s">
        <v>58</v>
      </c>
      <c r="G27" s="3" t="s">
        <v>40</v>
      </c>
      <c r="H27" s="5">
        <v>6.2532000000000005</v>
      </c>
      <c r="I27" s="5">
        <f t="shared" si="0"/>
        <v>18759.600000000002</v>
      </c>
      <c r="J27" s="3" t="s">
        <v>20</v>
      </c>
      <c r="K27" s="3" t="s">
        <v>21</v>
      </c>
      <c r="L27" s="4">
        <v>45292</v>
      </c>
      <c r="M27" s="3" t="s">
        <v>38</v>
      </c>
      <c r="N27" s="3" t="s">
        <v>13</v>
      </c>
    </row>
    <row r="28" spans="1:14" ht="75">
      <c r="A28" s="3">
        <v>27</v>
      </c>
      <c r="B28" s="3" t="s">
        <v>204</v>
      </c>
      <c r="C28" s="3" t="s">
        <v>34</v>
      </c>
      <c r="D28" s="3" t="s">
        <v>35</v>
      </c>
      <c r="E28" s="11">
        <v>5</v>
      </c>
      <c r="F28" s="3" t="s">
        <v>33</v>
      </c>
      <c r="G28" s="3" t="s">
        <v>222</v>
      </c>
      <c r="H28" s="5">
        <v>150</v>
      </c>
      <c r="I28" s="5">
        <f t="shared" si="0"/>
        <v>750</v>
      </c>
      <c r="J28" s="3" t="s">
        <v>20</v>
      </c>
      <c r="K28" s="3" t="s">
        <v>21</v>
      </c>
      <c r="L28" s="4">
        <v>45413</v>
      </c>
      <c r="M28" s="3" t="s">
        <v>20</v>
      </c>
      <c r="N28" s="3" t="s">
        <v>13</v>
      </c>
    </row>
    <row r="29" spans="1:14" ht="75">
      <c r="A29" s="3">
        <v>28</v>
      </c>
      <c r="B29" s="3" t="s">
        <v>240</v>
      </c>
      <c r="C29" s="3" t="s">
        <v>34</v>
      </c>
      <c r="D29" s="3" t="s">
        <v>168</v>
      </c>
      <c r="E29" s="11">
        <v>12</v>
      </c>
      <c r="F29" s="3" t="s">
        <v>33</v>
      </c>
      <c r="G29" s="3" t="s">
        <v>190</v>
      </c>
      <c r="H29" s="5">
        <v>519</v>
      </c>
      <c r="I29" s="5">
        <f t="shared" si="0"/>
        <v>6228</v>
      </c>
      <c r="J29" s="3" t="s">
        <v>20</v>
      </c>
      <c r="K29" s="3" t="s">
        <v>21</v>
      </c>
      <c r="L29" s="4">
        <v>45627</v>
      </c>
      <c r="M29" s="3" t="s">
        <v>20</v>
      </c>
      <c r="N29" s="3" t="s">
        <v>13</v>
      </c>
    </row>
    <row r="30" spans="1:14" ht="75">
      <c r="A30" s="3">
        <v>29</v>
      </c>
      <c r="B30" s="3" t="s">
        <v>115</v>
      </c>
      <c r="C30" s="3" t="s">
        <v>25</v>
      </c>
      <c r="D30" s="3" t="s">
        <v>246</v>
      </c>
      <c r="E30" s="11">
        <v>50</v>
      </c>
      <c r="F30" s="3" t="s">
        <v>33</v>
      </c>
      <c r="G30" s="3" t="s">
        <v>213</v>
      </c>
      <c r="H30" s="5">
        <v>59.400000000000006</v>
      </c>
      <c r="I30" s="5">
        <f t="shared" si="0"/>
        <v>2970.0000000000005</v>
      </c>
      <c r="J30" s="3" t="s">
        <v>20</v>
      </c>
      <c r="K30" s="3" t="s">
        <v>21</v>
      </c>
      <c r="L30" s="4">
        <v>45352</v>
      </c>
      <c r="M30" s="3" t="s">
        <v>20</v>
      </c>
      <c r="N30" s="3" t="s">
        <v>13</v>
      </c>
    </row>
    <row r="31" spans="1:14" ht="75">
      <c r="A31" s="3">
        <v>30</v>
      </c>
      <c r="B31" s="3" t="s">
        <v>123</v>
      </c>
      <c r="C31" s="3" t="s">
        <v>25</v>
      </c>
      <c r="D31" s="3" t="s">
        <v>246</v>
      </c>
      <c r="E31" s="11">
        <v>6</v>
      </c>
      <c r="F31" s="3" t="s">
        <v>124</v>
      </c>
      <c r="G31" s="3" t="s">
        <v>216</v>
      </c>
      <c r="H31" s="5">
        <v>97.2</v>
      </c>
      <c r="I31" s="5">
        <f t="shared" si="0"/>
        <v>583.20000000000005</v>
      </c>
      <c r="J31" s="3" t="s">
        <v>20</v>
      </c>
      <c r="K31" s="3" t="s">
        <v>36</v>
      </c>
      <c r="L31" s="4">
        <v>45352</v>
      </c>
      <c r="M31" s="3" t="s">
        <v>20</v>
      </c>
      <c r="N31" s="3" t="s">
        <v>13</v>
      </c>
    </row>
    <row r="32" spans="1:14" ht="75">
      <c r="A32" s="3">
        <v>31</v>
      </c>
      <c r="B32" s="3" t="s">
        <v>114</v>
      </c>
      <c r="C32" s="3" t="s">
        <v>25</v>
      </c>
      <c r="D32" s="3" t="s">
        <v>246</v>
      </c>
      <c r="E32" s="11">
        <v>9</v>
      </c>
      <c r="F32" s="3" t="s">
        <v>33</v>
      </c>
      <c r="G32" s="3" t="s">
        <v>212</v>
      </c>
      <c r="H32" s="5">
        <v>37.800000000000004</v>
      </c>
      <c r="I32" s="5">
        <f t="shared" si="0"/>
        <v>340.20000000000005</v>
      </c>
      <c r="J32" s="3" t="s">
        <v>20</v>
      </c>
      <c r="K32" s="3" t="s">
        <v>21</v>
      </c>
      <c r="L32" s="4">
        <v>45352</v>
      </c>
      <c r="M32" s="3" t="s">
        <v>20</v>
      </c>
      <c r="N32" s="3" t="s">
        <v>13</v>
      </c>
    </row>
    <row r="33" spans="1:14" ht="75">
      <c r="A33" s="3">
        <v>32</v>
      </c>
      <c r="B33" s="3" t="s">
        <v>127</v>
      </c>
      <c r="C33" s="3" t="s">
        <v>25</v>
      </c>
      <c r="D33" s="3" t="s">
        <v>246</v>
      </c>
      <c r="E33" s="11">
        <f xml:space="preserve"> 42*12</f>
        <v>504</v>
      </c>
      <c r="F33" s="3" t="s">
        <v>33</v>
      </c>
      <c r="G33" s="3" t="s">
        <v>217</v>
      </c>
      <c r="H33" s="5">
        <v>28.8</v>
      </c>
      <c r="I33" s="5">
        <f t="shared" si="0"/>
        <v>14515.2</v>
      </c>
      <c r="J33" s="3" t="s">
        <v>20</v>
      </c>
      <c r="K33" s="3" t="s">
        <v>21</v>
      </c>
      <c r="L33" s="4">
        <v>45292</v>
      </c>
      <c r="M33" s="3" t="s">
        <v>20</v>
      </c>
      <c r="N33" s="3" t="s">
        <v>13</v>
      </c>
    </row>
    <row r="34" spans="1:14" ht="75">
      <c r="A34" s="3">
        <v>33</v>
      </c>
      <c r="B34" s="3" t="s">
        <v>125</v>
      </c>
      <c r="C34" s="3" t="s">
        <v>25</v>
      </c>
      <c r="D34" s="3" t="s">
        <v>246</v>
      </c>
      <c r="E34" s="11">
        <f>42*12</f>
        <v>504</v>
      </c>
      <c r="F34" s="3" t="s">
        <v>33</v>
      </c>
      <c r="G34" s="3" t="s">
        <v>217</v>
      </c>
      <c r="H34" s="5">
        <v>21.55</v>
      </c>
      <c r="I34" s="5">
        <f t="shared" si="0"/>
        <v>10861.2</v>
      </c>
      <c r="J34" s="3" t="s">
        <v>20</v>
      </c>
      <c r="K34" s="3" t="s">
        <v>21</v>
      </c>
      <c r="L34" s="4">
        <v>45292</v>
      </c>
      <c r="M34" s="3" t="s">
        <v>20</v>
      </c>
      <c r="N34" s="3" t="s">
        <v>13</v>
      </c>
    </row>
    <row r="35" spans="1:14" ht="75">
      <c r="A35" s="3">
        <v>34</v>
      </c>
      <c r="B35" s="3" t="s">
        <v>126</v>
      </c>
      <c r="C35" s="3" t="s">
        <v>25</v>
      </c>
      <c r="D35" s="3" t="s">
        <v>246</v>
      </c>
      <c r="E35" s="11">
        <f>42*12</f>
        <v>504</v>
      </c>
      <c r="F35" s="3" t="s">
        <v>33</v>
      </c>
      <c r="G35" s="3" t="s">
        <v>217</v>
      </c>
      <c r="H35" s="5">
        <v>8.15</v>
      </c>
      <c r="I35" s="5">
        <f t="shared" si="0"/>
        <v>4107.6000000000004</v>
      </c>
      <c r="J35" s="3" t="s">
        <v>20</v>
      </c>
      <c r="K35" s="3" t="s">
        <v>21</v>
      </c>
      <c r="L35" s="4">
        <v>45292</v>
      </c>
      <c r="M35" s="3" t="s">
        <v>20</v>
      </c>
      <c r="N35" s="3" t="s">
        <v>13</v>
      </c>
    </row>
    <row r="36" spans="1:14" ht="75">
      <c r="A36" s="3">
        <v>35</v>
      </c>
      <c r="B36" s="3" t="s">
        <v>128</v>
      </c>
      <c r="C36" s="3" t="s">
        <v>25</v>
      </c>
      <c r="D36" s="3" t="s">
        <v>246</v>
      </c>
      <c r="E36" s="11">
        <f xml:space="preserve"> 21*12</f>
        <v>252</v>
      </c>
      <c r="F36" s="3" t="s">
        <v>33</v>
      </c>
      <c r="G36" s="3" t="s">
        <v>217</v>
      </c>
      <c r="H36" s="5">
        <v>3.8</v>
      </c>
      <c r="I36" s="5">
        <f t="shared" si="0"/>
        <v>957.59999999999991</v>
      </c>
      <c r="J36" s="3" t="s">
        <v>20</v>
      </c>
      <c r="K36" s="3" t="s">
        <v>21</v>
      </c>
      <c r="L36" s="4">
        <v>45292</v>
      </c>
      <c r="M36" s="3" t="s">
        <v>20</v>
      </c>
      <c r="N36" s="3" t="s">
        <v>13</v>
      </c>
    </row>
    <row r="37" spans="1:14" ht="75">
      <c r="A37" s="3">
        <v>36</v>
      </c>
      <c r="B37" s="3" t="s">
        <v>198</v>
      </c>
      <c r="C37" s="3" t="s">
        <v>34</v>
      </c>
      <c r="D37" s="3" t="s">
        <v>35</v>
      </c>
      <c r="E37" s="11">
        <v>500</v>
      </c>
      <c r="F37" s="3" t="s">
        <v>33</v>
      </c>
      <c r="G37" s="3" t="s">
        <v>207</v>
      </c>
      <c r="H37" s="5">
        <v>10.89</v>
      </c>
      <c r="I37" s="5">
        <f t="shared" si="0"/>
        <v>5445</v>
      </c>
      <c r="J37" s="3" t="s">
        <v>20</v>
      </c>
      <c r="K37" s="3" t="s">
        <v>36</v>
      </c>
      <c r="L37" s="4">
        <v>45505</v>
      </c>
      <c r="M37" s="3" t="s">
        <v>20</v>
      </c>
      <c r="N37" s="3" t="s">
        <v>13</v>
      </c>
    </row>
    <row r="38" spans="1:14" ht="75">
      <c r="A38" s="3">
        <v>37</v>
      </c>
      <c r="B38" s="3" t="s">
        <v>45</v>
      </c>
      <c r="C38" s="3" t="s">
        <v>34</v>
      </c>
      <c r="D38" s="3" t="s">
        <v>35</v>
      </c>
      <c r="E38" s="11">
        <v>65</v>
      </c>
      <c r="F38" s="3" t="s">
        <v>52</v>
      </c>
      <c r="G38" s="3" t="s">
        <v>207</v>
      </c>
      <c r="H38" s="5">
        <v>14.385600000000002</v>
      </c>
      <c r="I38" s="5">
        <f t="shared" si="0"/>
        <v>935.06400000000008</v>
      </c>
      <c r="J38" s="3" t="s">
        <v>20</v>
      </c>
      <c r="K38" s="3" t="s">
        <v>36</v>
      </c>
      <c r="L38" s="4">
        <v>45376</v>
      </c>
      <c r="M38" s="3" t="s">
        <v>20</v>
      </c>
      <c r="N38" s="3" t="s">
        <v>13</v>
      </c>
    </row>
    <row r="39" spans="1:14" ht="75">
      <c r="A39" s="3">
        <v>38</v>
      </c>
      <c r="B39" s="3" t="s">
        <v>41</v>
      </c>
      <c r="C39" s="3" t="s">
        <v>34</v>
      </c>
      <c r="D39" s="3" t="s">
        <v>35</v>
      </c>
      <c r="E39" s="11">
        <v>60</v>
      </c>
      <c r="F39" s="3" t="s">
        <v>33</v>
      </c>
      <c r="G39" s="3" t="s">
        <v>207</v>
      </c>
      <c r="H39" s="5">
        <v>6.0696000000000003</v>
      </c>
      <c r="I39" s="5">
        <f t="shared" si="0"/>
        <v>364.17600000000004</v>
      </c>
      <c r="J39" s="3" t="s">
        <v>20</v>
      </c>
      <c r="K39" s="3" t="s">
        <v>36</v>
      </c>
      <c r="L39" s="4">
        <v>45376</v>
      </c>
      <c r="M39" s="3" t="s">
        <v>20</v>
      </c>
      <c r="N39" s="3" t="s">
        <v>13</v>
      </c>
    </row>
    <row r="40" spans="1:14" ht="75">
      <c r="A40" s="3">
        <v>39</v>
      </c>
      <c r="B40" s="3" t="s">
        <v>201</v>
      </c>
      <c r="C40" s="3" t="s">
        <v>34</v>
      </c>
      <c r="D40" s="3" t="s">
        <v>168</v>
      </c>
      <c r="E40" s="11">
        <v>2</v>
      </c>
      <c r="F40" s="3" t="s">
        <v>33</v>
      </c>
      <c r="G40" s="3" t="s">
        <v>208</v>
      </c>
      <c r="H40" s="5">
        <v>4330</v>
      </c>
      <c r="I40" s="5">
        <f t="shared" si="0"/>
        <v>8660</v>
      </c>
      <c r="J40" s="3" t="s">
        <v>20</v>
      </c>
      <c r="K40" s="3" t="s">
        <v>21</v>
      </c>
      <c r="L40" s="4">
        <v>45627</v>
      </c>
      <c r="M40" s="3" t="s">
        <v>20</v>
      </c>
      <c r="N40" s="3" t="s">
        <v>13</v>
      </c>
    </row>
    <row r="41" spans="1:14" ht="75">
      <c r="A41" s="3">
        <v>40</v>
      </c>
      <c r="B41" s="3" t="s">
        <v>200</v>
      </c>
      <c r="C41" s="3" t="s">
        <v>34</v>
      </c>
      <c r="D41" s="3" t="s">
        <v>168</v>
      </c>
      <c r="E41" s="11">
        <v>1</v>
      </c>
      <c r="F41" s="3" t="s">
        <v>33</v>
      </c>
      <c r="G41" s="3" t="s">
        <v>208</v>
      </c>
      <c r="H41" s="5">
        <v>4299</v>
      </c>
      <c r="I41" s="5">
        <f t="shared" si="0"/>
        <v>4299</v>
      </c>
      <c r="J41" s="3" t="s">
        <v>20</v>
      </c>
      <c r="K41" s="3" t="s">
        <v>169</v>
      </c>
      <c r="L41" s="4">
        <v>45627</v>
      </c>
      <c r="M41" s="3" t="s">
        <v>20</v>
      </c>
      <c r="N41" s="3" t="s">
        <v>13</v>
      </c>
    </row>
    <row r="42" spans="1:14" ht="75">
      <c r="A42" s="3">
        <v>41</v>
      </c>
      <c r="B42" s="3" t="s">
        <v>173</v>
      </c>
      <c r="C42" s="3" t="s">
        <v>34</v>
      </c>
      <c r="D42" s="3" t="s">
        <v>168</v>
      </c>
      <c r="E42" s="11">
        <v>2</v>
      </c>
      <c r="F42" s="3" t="s">
        <v>33</v>
      </c>
      <c r="G42" s="3" t="s">
        <v>208</v>
      </c>
      <c r="H42" s="5">
        <v>1869</v>
      </c>
      <c r="I42" s="5">
        <f t="shared" si="0"/>
        <v>3738</v>
      </c>
      <c r="J42" s="3" t="s">
        <v>20</v>
      </c>
      <c r="K42" s="3" t="s">
        <v>36</v>
      </c>
      <c r="L42" s="4">
        <v>45627</v>
      </c>
      <c r="M42" s="3" t="s">
        <v>20</v>
      </c>
      <c r="N42" s="3" t="s">
        <v>13</v>
      </c>
    </row>
    <row r="43" spans="1:14" ht="75">
      <c r="A43" s="3">
        <v>42</v>
      </c>
      <c r="B43" s="3" t="s">
        <v>274</v>
      </c>
      <c r="C43" s="3" t="s">
        <v>34</v>
      </c>
      <c r="D43" s="3" t="s">
        <v>168</v>
      </c>
      <c r="E43" s="11">
        <v>1</v>
      </c>
      <c r="F43" s="3" t="s">
        <v>33</v>
      </c>
      <c r="G43" s="3" t="s">
        <v>208</v>
      </c>
      <c r="H43" s="5">
        <v>1999</v>
      </c>
      <c r="I43" s="5">
        <f t="shared" si="0"/>
        <v>1999</v>
      </c>
      <c r="J43" s="3" t="s">
        <v>20</v>
      </c>
      <c r="K43" s="3" t="s">
        <v>36</v>
      </c>
      <c r="L43" s="4">
        <v>45627</v>
      </c>
      <c r="M43" s="3" t="s">
        <v>20</v>
      </c>
      <c r="N43" s="3" t="s">
        <v>13</v>
      </c>
    </row>
    <row r="44" spans="1:14" ht="75">
      <c r="A44" s="3">
        <v>43</v>
      </c>
      <c r="B44" s="3" t="s">
        <v>275</v>
      </c>
      <c r="C44" s="3" t="s">
        <v>34</v>
      </c>
      <c r="D44" s="3" t="s">
        <v>168</v>
      </c>
      <c r="E44" s="11">
        <v>1</v>
      </c>
      <c r="F44" s="3" t="s">
        <v>33</v>
      </c>
      <c r="G44" s="3" t="s">
        <v>208</v>
      </c>
      <c r="H44" s="5">
        <v>539</v>
      </c>
      <c r="I44" s="5">
        <f t="shared" si="0"/>
        <v>539</v>
      </c>
      <c r="J44" s="3" t="s">
        <v>20</v>
      </c>
      <c r="K44" s="3" t="s">
        <v>36</v>
      </c>
      <c r="L44" s="4">
        <v>45597</v>
      </c>
      <c r="M44" s="3" t="s">
        <v>20</v>
      </c>
      <c r="N44" s="3" t="s">
        <v>13</v>
      </c>
    </row>
    <row r="45" spans="1:14" ht="75">
      <c r="A45" s="3">
        <v>44</v>
      </c>
      <c r="B45" s="3" t="s">
        <v>171</v>
      </c>
      <c r="C45" s="3" t="s">
        <v>172</v>
      </c>
      <c r="D45" s="3" t="s">
        <v>168</v>
      </c>
      <c r="E45" s="11">
        <v>1</v>
      </c>
      <c r="F45" s="3" t="s">
        <v>33</v>
      </c>
      <c r="G45" s="3" t="s">
        <v>208</v>
      </c>
      <c r="H45" s="5">
        <v>1499</v>
      </c>
      <c r="I45" s="5">
        <f t="shared" si="0"/>
        <v>1499</v>
      </c>
      <c r="J45" s="3" t="s">
        <v>20</v>
      </c>
      <c r="K45" s="3" t="s">
        <v>169</v>
      </c>
      <c r="L45" s="4">
        <v>45627</v>
      </c>
      <c r="M45" s="3" t="s">
        <v>20</v>
      </c>
      <c r="N45" s="3" t="s">
        <v>13</v>
      </c>
    </row>
    <row r="46" spans="1:14" ht="75">
      <c r="A46" s="3">
        <v>45</v>
      </c>
      <c r="B46" s="3" t="s">
        <v>196</v>
      </c>
      <c r="C46" s="3" t="s">
        <v>34</v>
      </c>
      <c r="D46" s="3" t="s">
        <v>35</v>
      </c>
      <c r="E46" s="11">
        <v>25</v>
      </c>
      <c r="F46" s="3" t="s">
        <v>33</v>
      </c>
      <c r="G46" s="3" t="s">
        <v>208</v>
      </c>
      <c r="H46" s="5">
        <v>39.9</v>
      </c>
      <c r="I46" s="5">
        <f t="shared" si="0"/>
        <v>997.5</v>
      </c>
      <c r="J46" s="3" t="s">
        <v>20</v>
      </c>
      <c r="K46" s="3" t="s">
        <v>21</v>
      </c>
      <c r="L46" s="4">
        <v>45627</v>
      </c>
      <c r="M46" s="3" t="s">
        <v>20</v>
      </c>
      <c r="N46" s="3" t="s">
        <v>13</v>
      </c>
    </row>
    <row r="47" spans="1:14" ht="75">
      <c r="A47" s="3">
        <v>46</v>
      </c>
      <c r="B47" s="3" t="s">
        <v>195</v>
      </c>
      <c r="C47" s="3" t="s">
        <v>34</v>
      </c>
      <c r="D47" s="3" t="s">
        <v>35</v>
      </c>
      <c r="E47" s="11">
        <v>20</v>
      </c>
      <c r="F47" s="3" t="s">
        <v>33</v>
      </c>
      <c r="G47" s="3" t="s">
        <v>208</v>
      </c>
      <c r="H47" s="5">
        <v>12.9</v>
      </c>
      <c r="I47" s="5">
        <f t="shared" si="0"/>
        <v>258</v>
      </c>
      <c r="J47" s="3" t="s">
        <v>20</v>
      </c>
      <c r="K47" s="3" t="s">
        <v>21</v>
      </c>
      <c r="L47" s="4">
        <v>45627</v>
      </c>
      <c r="M47" s="3" t="s">
        <v>20</v>
      </c>
      <c r="N47" s="3" t="s">
        <v>13</v>
      </c>
    </row>
    <row r="48" spans="1:14" ht="75">
      <c r="A48" s="3">
        <v>47</v>
      </c>
      <c r="B48" s="3" t="s">
        <v>191</v>
      </c>
      <c r="C48" s="3" t="s">
        <v>34</v>
      </c>
      <c r="D48" s="3" t="s">
        <v>35</v>
      </c>
      <c r="E48" s="11">
        <v>10</v>
      </c>
      <c r="F48" s="3" t="s">
        <v>33</v>
      </c>
      <c r="G48" s="3" t="s">
        <v>208</v>
      </c>
      <c r="H48" s="5">
        <v>22.14</v>
      </c>
      <c r="I48" s="5">
        <f t="shared" si="0"/>
        <v>221.4</v>
      </c>
      <c r="J48" s="3" t="s">
        <v>20</v>
      </c>
      <c r="K48" s="3" t="s">
        <v>169</v>
      </c>
      <c r="L48" s="4">
        <v>45627</v>
      </c>
      <c r="M48" s="3" t="s">
        <v>20</v>
      </c>
      <c r="N48" s="3" t="s">
        <v>13</v>
      </c>
    </row>
    <row r="49" spans="1:14" ht="75">
      <c r="A49" s="3">
        <v>48</v>
      </c>
      <c r="B49" s="3" t="s">
        <v>276</v>
      </c>
      <c r="C49" s="3" t="s">
        <v>34</v>
      </c>
      <c r="D49" s="3" t="s">
        <v>168</v>
      </c>
      <c r="E49" s="11">
        <v>1</v>
      </c>
      <c r="F49" s="3" t="s">
        <v>33</v>
      </c>
      <c r="G49" s="3" t="s">
        <v>208</v>
      </c>
      <c r="H49" s="5">
        <v>854</v>
      </c>
      <c r="I49" s="5">
        <f t="shared" si="0"/>
        <v>854</v>
      </c>
      <c r="J49" s="3" t="s">
        <v>20</v>
      </c>
      <c r="K49" s="3" t="s">
        <v>36</v>
      </c>
      <c r="L49" s="4">
        <v>45627</v>
      </c>
      <c r="M49" s="3" t="s">
        <v>20</v>
      </c>
      <c r="N49" s="3" t="s">
        <v>13</v>
      </c>
    </row>
    <row r="50" spans="1:14" ht="75">
      <c r="A50" s="3">
        <v>49</v>
      </c>
      <c r="B50" s="3" t="s">
        <v>188</v>
      </c>
      <c r="C50" s="3" t="s">
        <v>34</v>
      </c>
      <c r="D50" s="3" t="s">
        <v>168</v>
      </c>
      <c r="E50" s="11">
        <v>2</v>
      </c>
      <c r="F50" s="3" t="s">
        <v>33</v>
      </c>
      <c r="G50" s="3" t="s">
        <v>208</v>
      </c>
      <c r="H50" s="5">
        <v>427</v>
      </c>
      <c r="I50" s="5">
        <f t="shared" si="0"/>
        <v>854</v>
      </c>
      <c r="J50" s="3" t="s">
        <v>20</v>
      </c>
      <c r="K50" s="3" t="s">
        <v>169</v>
      </c>
      <c r="L50" s="4">
        <v>45627</v>
      </c>
      <c r="M50" s="3" t="s">
        <v>20</v>
      </c>
      <c r="N50" s="3" t="s">
        <v>13</v>
      </c>
    </row>
    <row r="51" spans="1:14" ht="75">
      <c r="A51" s="3">
        <v>50</v>
      </c>
      <c r="B51" s="3" t="s">
        <v>47</v>
      </c>
      <c r="C51" s="3" t="s">
        <v>34</v>
      </c>
      <c r="D51" s="3" t="s">
        <v>168</v>
      </c>
      <c r="E51" s="11">
        <v>2</v>
      </c>
      <c r="F51" s="3" t="s">
        <v>33</v>
      </c>
      <c r="G51" s="3" t="s">
        <v>208</v>
      </c>
      <c r="H51" s="5">
        <v>292</v>
      </c>
      <c r="I51" s="5">
        <f t="shared" si="0"/>
        <v>584</v>
      </c>
      <c r="J51" s="3" t="s">
        <v>20</v>
      </c>
      <c r="K51" s="3" t="s">
        <v>36</v>
      </c>
      <c r="L51" s="4">
        <v>45444</v>
      </c>
      <c r="M51" s="3" t="s">
        <v>20</v>
      </c>
      <c r="N51" s="3" t="s">
        <v>13</v>
      </c>
    </row>
    <row r="52" spans="1:14" ht="75">
      <c r="A52" s="3">
        <v>51</v>
      </c>
      <c r="B52" s="3" t="s">
        <v>242</v>
      </c>
      <c r="C52" s="3" t="s">
        <v>34</v>
      </c>
      <c r="D52" s="3" t="s">
        <v>35</v>
      </c>
      <c r="E52" s="11">
        <v>20</v>
      </c>
      <c r="F52" s="3" t="s">
        <v>33</v>
      </c>
      <c r="G52" s="3" t="s">
        <v>234</v>
      </c>
      <c r="H52" s="5">
        <v>339.9</v>
      </c>
      <c r="I52" s="5">
        <f t="shared" si="0"/>
        <v>6798</v>
      </c>
      <c r="J52" s="3" t="s">
        <v>20</v>
      </c>
      <c r="K52" s="3" t="s">
        <v>169</v>
      </c>
      <c r="L52" s="4">
        <v>45627</v>
      </c>
      <c r="M52" s="3" t="s">
        <v>20</v>
      </c>
      <c r="N52" s="3" t="s">
        <v>13</v>
      </c>
    </row>
    <row r="53" spans="1:14" ht="75">
      <c r="A53" s="3">
        <v>52</v>
      </c>
      <c r="B53" s="3" t="s">
        <v>230</v>
      </c>
      <c r="C53" s="3" t="s">
        <v>34</v>
      </c>
      <c r="D53" s="3" t="s">
        <v>35</v>
      </c>
      <c r="E53" s="11">
        <v>20</v>
      </c>
      <c r="F53" s="3" t="s">
        <v>33</v>
      </c>
      <c r="G53" s="3" t="s">
        <v>234</v>
      </c>
      <c r="H53" s="5">
        <v>47.78</v>
      </c>
      <c r="I53" s="5">
        <f t="shared" si="0"/>
        <v>955.6</v>
      </c>
      <c r="J53" s="3" t="s">
        <v>20</v>
      </c>
      <c r="K53" s="3" t="s">
        <v>21</v>
      </c>
      <c r="L53" s="4">
        <v>45627</v>
      </c>
      <c r="M53" s="3" t="s">
        <v>20</v>
      </c>
      <c r="N53" s="3" t="s">
        <v>13</v>
      </c>
    </row>
    <row r="54" spans="1:14" ht="75">
      <c r="A54" s="3">
        <v>53</v>
      </c>
      <c r="B54" s="3" t="s">
        <v>223</v>
      </c>
      <c r="C54" s="3" t="s">
        <v>34</v>
      </c>
      <c r="D54" s="3" t="s">
        <v>168</v>
      </c>
      <c r="E54" s="11">
        <v>3</v>
      </c>
      <c r="F54" s="3" t="s">
        <v>33</v>
      </c>
      <c r="G54" s="3" t="s">
        <v>226</v>
      </c>
      <c r="H54" s="5">
        <f>1.08*2850</f>
        <v>3078</v>
      </c>
      <c r="I54" s="5">
        <f t="shared" si="0"/>
        <v>9234</v>
      </c>
      <c r="J54" s="3" t="s">
        <v>20</v>
      </c>
      <c r="K54" s="3" t="s">
        <v>169</v>
      </c>
      <c r="L54" s="4">
        <v>45444</v>
      </c>
      <c r="M54" s="3" t="s">
        <v>20</v>
      </c>
      <c r="N54" s="3" t="s">
        <v>13</v>
      </c>
    </row>
    <row r="55" spans="1:14" ht="75">
      <c r="A55" s="3">
        <v>54</v>
      </c>
      <c r="B55" s="3" t="s">
        <v>225</v>
      </c>
      <c r="C55" s="3" t="s">
        <v>34</v>
      </c>
      <c r="D55" s="3" t="s">
        <v>168</v>
      </c>
      <c r="E55" s="11">
        <v>2</v>
      </c>
      <c r="F55" s="3" t="s">
        <v>33</v>
      </c>
      <c r="G55" s="3" t="s">
        <v>226</v>
      </c>
      <c r="H55" s="5">
        <f>1.08*3820</f>
        <v>4125.6000000000004</v>
      </c>
      <c r="I55" s="5">
        <f t="shared" si="0"/>
        <v>8251.2000000000007</v>
      </c>
      <c r="J55" s="3" t="s">
        <v>20</v>
      </c>
      <c r="K55" s="3" t="s">
        <v>169</v>
      </c>
      <c r="L55" s="4">
        <v>45444</v>
      </c>
      <c r="M55" s="3" t="s">
        <v>20</v>
      </c>
      <c r="N55" s="3" t="s">
        <v>13</v>
      </c>
    </row>
    <row r="56" spans="1:14" ht="75">
      <c r="A56" s="3">
        <v>55</v>
      </c>
      <c r="B56" s="3" t="s">
        <v>139</v>
      </c>
      <c r="C56" s="3" t="s">
        <v>34</v>
      </c>
      <c r="D56" s="3" t="s">
        <v>35</v>
      </c>
      <c r="E56" s="11">
        <v>15</v>
      </c>
      <c r="F56" s="3" t="s">
        <v>33</v>
      </c>
      <c r="G56" s="3" t="s">
        <v>218</v>
      </c>
      <c r="H56" s="5">
        <f>1.08*175</f>
        <v>189</v>
      </c>
      <c r="I56" s="5">
        <f t="shared" si="0"/>
        <v>2835</v>
      </c>
      <c r="J56" s="3" t="s">
        <v>20</v>
      </c>
      <c r="K56" s="3" t="s">
        <v>169</v>
      </c>
      <c r="L56" s="4">
        <v>45444</v>
      </c>
      <c r="M56" s="3" t="s">
        <v>20</v>
      </c>
      <c r="N56" s="3" t="s">
        <v>13</v>
      </c>
    </row>
    <row r="57" spans="1:14" ht="75">
      <c r="A57" s="3">
        <v>56</v>
      </c>
      <c r="B57" s="3" t="s">
        <v>224</v>
      </c>
      <c r="C57" s="3" t="s">
        <v>34</v>
      </c>
      <c r="D57" s="3" t="s">
        <v>168</v>
      </c>
      <c r="E57" s="11">
        <v>2</v>
      </c>
      <c r="F57" s="3" t="s">
        <v>33</v>
      </c>
      <c r="G57" s="3" t="s">
        <v>226</v>
      </c>
      <c r="H57" s="5">
        <f>1.08*1680</f>
        <v>1814.4</v>
      </c>
      <c r="I57" s="5">
        <f t="shared" si="0"/>
        <v>3628.8</v>
      </c>
      <c r="J57" s="3" t="s">
        <v>20</v>
      </c>
      <c r="K57" s="3" t="s">
        <v>169</v>
      </c>
      <c r="L57" s="4">
        <v>45444</v>
      </c>
      <c r="M57" s="3" t="s">
        <v>20</v>
      </c>
      <c r="N57" s="3" t="s">
        <v>13</v>
      </c>
    </row>
    <row r="58" spans="1:14" ht="75">
      <c r="A58" s="3">
        <v>57</v>
      </c>
      <c r="B58" s="3" t="s">
        <v>140</v>
      </c>
      <c r="C58" s="3" t="s">
        <v>34</v>
      </c>
      <c r="D58" s="3" t="s">
        <v>35</v>
      </c>
      <c r="E58" s="11">
        <v>15</v>
      </c>
      <c r="F58" s="3" t="s">
        <v>33</v>
      </c>
      <c r="G58" s="3" t="s">
        <v>218</v>
      </c>
      <c r="H58" s="5">
        <f>1.08*125</f>
        <v>135</v>
      </c>
      <c r="I58" s="5">
        <f t="shared" si="0"/>
        <v>2025</v>
      </c>
      <c r="J58" s="3" t="s">
        <v>20</v>
      </c>
      <c r="K58" s="3" t="s">
        <v>169</v>
      </c>
      <c r="L58" s="4">
        <v>45444</v>
      </c>
      <c r="M58" s="3" t="s">
        <v>20</v>
      </c>
      <c r="N58" s="3" t="s">
        <v>13</v>
      </c>
    </row>
    <row r="59" spans="1:14" ht="75">
      <c r="A59" s="3">
        <v>58</v>
      </c>
      <c r="B59" s="3" t="s">
        <v>141</v>
      </c>
      <c r="C59" s="3" t="s">
        <v>34</v>
      </c>
      <c r="D59" s="3" t="s">
        <v>35</v>
      </c>
      <c r="E59" s="11">
        <v>15</v>
      </c>
      <c r="F59" s="3" t="s">
        <v>33</v>
      </c>
      <c r="G59" s="3" t="s">
        <v>218</v>
      </c>
      <c r="H59" s="5">
        <f>1.08*100</f>
        <v>108</v>
      </c>
      <c r="I59" s="5">
        <f t="shared" si="0"/>
        <v>1620</v>
      </c>
      <c r="J59" s="3" t="s">
        <v>20</v>
      </c>
      <c r="K59" s="3" t="s">
        <v>169</v>
      </c>
      <c r="L59" s="4">
        <v>45444</v>
      </c>
      <c r="M59" s="3" t="s">
        <v>20</v>
      </c>
      <c r="N59" s="3" t="s">
        <v>13</v>
      </c>
    </row>
    <row r="60" spans="1:14" ht="75">
      <c r="A60" s="3">
        <v>59</v>
      </c>
      <c r="B60" s="3" t="s">
        <v>138</v>
      </c>
      <c r="C60" s="3" t="s">
        <v>34</v>
      </c>
      <c r="D60" s="3" t="s">
        <v>35</v>
      </c>
      <c r="E60" s="11">
        <v>4</v>
      </c>
      <c r="F60" s="3" t="s">
        <v>89</v>
      </c>
      <c r="G60" s="3" t="s">
        <v>218</v>
      </c>
      <c r="H60" s="5">
        <f>1.08*325</f>
        <v>351</v>
      </c>
      <c r="I60" s="5">
        <f t="shared" si="0"/>
        <v>1404</v>
      </c>
      <c r="J60" s="3" t="s">
        <v>20</v>
      </c>
      <c r="K60" s="3" t="s">
        <v>169</v>
      </c>
      <c r="L60" s="4">
        <v>45444</v>
      </c>
      <c r="M60" s="3" t="s">
        <v>20</v>
      </c>
      <c r="N60" s="3" t="s">
        <v>13</v>
      </c>
    </row>
    <row r="61" spans="1:14" ht="75">
      <c r="A61" s="3">
        <v>60</v>
      </c>
      <c r="B61" s="3" t="s">
        <v>137</v>
      </c>
      <c r="C61" s="3" t="s">
        <v>34</v>
      </c>
      <c r="D61" s="3" t="s">
        <v>35</v>
      </c>
      <c r="E61" s="11">
        <v>2</v>
      </c>
      <c r="F61" s="3" t="s">
        <v>89</v>
      </c>
      <c r="G61" s="3" t="s">
        <v>218</v>
      </c>
      <c r="H61" s="5">
        <f>1.08*280</f>
        <v>302.40000000000003</v>
      </c>
      <c r="I61" s="5">
        <f t="shared" si="0"/>
        <v>604.80000000000007</v>
      </c>
      <c r="J61" s="3" t="s">
        <v>20</v>
      </c>
      <c r="K61" s="3" t="s">
        <v>169</v>
      </c>
      <c r="L61" s="4">
        <v>45444</v>
      </c>
      <c r="M61" s="3" t="s">
        <v>20</v>
      </c>
      <c r="N61" s="3" t="s">
        <v>13</v>
      </c>
    </row>
    <row r="62" spans="1:14" ht="75">
      <c r="A62" s="3">
        <v>61</v>
      </c>
      <c r="B62" s="3" t="s">
        <v>142</v>
      </c>
      <c r="C62" s="3" t="s">
        <v>34</v>
      </c>
      <c r="D62" s="3" t="s">
        <v>35</v>
      </c>
      <c r="E62" s="11">
        <v>5</v>
      </c>
      <c r="F62" s="3" t="s">
        <v>33</v>
      </c>
      <c r="G62" s="3" t="s">
        <v>218</v>
      </c>
      <c r="H62" s="5">
        <f>1.08*74</f>
        <v>79.92</v>
      </c>
      <c r="I62" s="5">
        <f t="shared" si="0"/>
        <v>399.6</v>
      </c>
      <c r="J62" s="3" t="s">
        <v>20</v>
      </c>
      <c r="K62" s="3" t="s">
        <v>169</v>
      </c>
      <c r="L62" s="4">
        <v>45444</v>
      </c>
      <c r="M62" s="3" t="s">
        <v>20</v>
      </c>
      <c r="N62" s="3" t="s">
        <v>13</v>
      </c>
    </row>
    <row r="63" spans="1:14" ht="75">
      <c r="A63" s="3">
        <v>62</v>
      </c>
      <c r="B63" s="3" t="s">
        <v>135</v>
      </c>
      <c r="C63" s="3" t="s">
        <v>34</v>
      </c>
      <c r="D63" s="3" t="s">
        <v>35</v>
      </c>
      <c r="E63" s="11">
        <v>15</v>
      </c>
      <c r="F63" s="3" t="s">
        <v>33</v>
      </c>
      <c r="G63" s="3" t="s">
        <v>218</v>
      </c>
      <c r="H63" s="5">
        <f>1.08*13</f>
        <v>14.040000000000001</v>
      </c>
      <c r="I63" s="5">
        <f t="shared" si="0"/>
        <v>210.60000000000002</v>
      </c>
      <c r="J63" s="3" t="s">
        <v>20</v>
      </c>
      <c r="K63" s="3" t="s">
        <v>169</v>
      </c>
      <c r="L63" s="4">
        <v>45444</v>
      </c>
      <c r="M63" s="3" t="s">
        <v>20</v>
      </c>
      <c r="N63" s="3" t="s">
        <v>13</v>
      </c>
    </row>
    <row r="64" spans="1:14" ht="75">
      <c r="A64" s="3">
        <v>63</v>
      </c>
      <c r="B64" s="3" t="s">
        <v>136</v>
      </c>
      <c r="C64" s="3" t="s">
        <v>34</v>
      </c>
      <c r="D64" s="3" t="s">
        <v>35</v>
      </c>
      <c r="E64" s="11">
        <v>15</v>
      </c>
      <c r="F64" s="3" t="s">
        <v>33</v>
      </c>
      <c r="G64" s="3" t="s">
        <v>218</v>
      </c>
      <c r="H64" s="5">
        <f>1.08*13</f>
        <v>14.040000000000001</v>
      </c>
      <c r="I64" s="5">
        <f t="shared" si="0"/>
        <v>210.60000000000002</v>
      </c>
      <c r="J64" s="3" t="s">
        <v>20</v>
      </c>
      <c r="K64" s="3" t="s">
        <v>169</v>
      </c>
      <c r="L64" s="4">
        <v>45444</v>
      </c>
      <c r="M64" s="3" t="s">
        <v>20</v>
      </c>
      <c r="N64" s="3" t="s">
        <v>13</v>
      </c>
    </row>
    <row r="65" spans="1:14" ht="75">
      <c r="A65" s="3">
        <v>64</v>
      </c>
      <c r="B65" s="3" t="s">
        <v>143</v>
      </c>
      <c r="C65" s="3" t="s">
        <v>34</v>
      </c>
      <c r="D65" s="3" t="s">
        <v>35</v>
      </c>
      <c r="E65" s="11">
        <v>5</v>
      </c>
      <c r="F65" s="3" t="s">
        <v>33</v>
      </c>
      <c r="G65" s="3" t="s">
        <v>218</v>
      </c>
      <c r="H65" s="5">
        <f>1.08*45</f>
        <v>48.6</v>
      </c>
      <c r="I65" s="5">
        <f t="shared" si="0"/>
        <v>243</v>
      </c>
      <c r="J65" s="3" t="s">
        <v>20</v>
      </c>
      <c r="K65" s="3" t="s">
        <v>169</v>
      </c>
      <c r="L65" s="4">
        <v>45444</v>
      </c>
      <c r="M65" s="3" t="s">
        <v>20</v>
      </c>
      <c r="N65" s="3" t="s">
        <v>13</v>
      </c>
    </row>
    <row r="66" spans="1:14" ht="75">
      <c r="A66" s="3">
        <v>65</v>
      </c>
      <c r="B66" s="3" t="s">
        <v>202</v>
      </c>
      <c r="C66" s="3" t="s">
        <v>34</v>
      </c>
      <c r="D66" s="3" t="s">
        <v>35</v>
      </c>
      <c r="E66" s="11">
        <v>2</v>
      </c>
      <c r="F66" s="3" t="s">
        <v>33</v>
      </c>
      <c r="G66" s="3" t="s">
        <v>218</v>
      </c>
      <c r="H66" s="5">
        <v>40</v>
      </c>
      <c r="I66" s="5">
        <f t="shared" si="0"/>
        <v>80</v>
      </c>
      <c r="J66" s="3" t="s">
        <v>20</v>
      </c>
      <c r="K66" s="3" t="s">
        <v>36</v>
      </c>
      <c r="L66" s="4">
        <v>45597</v>
      </c>
      <c r="M66" s="3" t="s">
        <v>20</v>
      </c>
      <c r="N66" s="3" t="s">
        <v>13</v>
      </c>
    </row>
    <row r="67" spans="1:14" ht="75">
      <c r="A67" s="3">
        <v>66</v>
      </c>
      <c r="B67" s="3" t="s">
        <v>160</v>
      </c>
      <c r="C67" s="3" t="s">
        <v>34</v>
      </c>
      <c r="D67" s="3" t="s">
        <v>168</v>
      </c>
      <c r="E67" s="11">
        <v>2</v>
      </c>
      <c r="F67" s="3" t="s">
        <v>33</v>
      </c>
      <c r="G67" s="3" t="s">
        <v>226</v>
      </c>
      <c r="H67" s="5">
        <v>75</v>
      </c>
      <c r="I67" s="5">
        <f t="shared" si="0"/>
        <v>150</v>
      </c>
      <c r="J67" s="3" t="s">
        <v>20</v>
      </c>
      <c r="K67" s="3" t="s">
        <v>169</v>
      </c>
      <c r="L67" s="4">
        <v>45444</v>
      </c>
      <c r="M67" s="3" t="s">
        <v>20</v>
      </c>
      <c r="N67" s="3" t="s">
        <v>13</v>
      </c>
    </row>
    <row r="68" spans="1:14" ht="75">
      <c r="A68" s="3">
        <v>67</v>
      </c>
      <c r="B68" s="3" t="s">
        <v>182</v>
      </c>
      <c r="C68" s="3" t="s">
        <v>34</v>
      </c>
      <c r="D68" s="3" t="s">
        <v>168</v>
      </c>
      <c r="E68" s="11">
        <v>20</v>
      </c>
      <c r="F68" s="3" t="s">
        <v>33</v>
      </c>
      <c r="G68" s="3" t="s">
        <v>233</v>
      </c>
      <c r="H68" s="5">
        <v>745</v>
      </c>
      <c r="I68" s="5">
        <f t="shared" si="0"/>
        <v>14900</v>
      </c>
      <c r="J68" s="3" t="s">
        <v>20</v>
      </c>
      <c r="K68" s="3" t="s">
        <v>36</v>
      </c>
      <c r="L68" s="4">
        <v>45536</v>
      </c>
      <c r="M68" s="3" t="s">
        <v>20</v>
      </c>
      <c r="N68" s="3" t="s">
        <v>13</v>
      </c>
    </row>
    <row r="69" spans="1:14" ht="75">
      <c r="A69" s="3">
        <v>68</v>
      </c>
      <c r="B69" s="3" t="s">
        <v>145</v>
      </c>
      <c r="C69" s="3" t="s">
        <v>34</v>
      </c>
      <c r="D69" s="3" t="s">
        <v>35</v>
      </c>
      <c r="E69" s="11">
        <v>2</v>
      </c>
      <c r="F69" s="3" t="s">
        <v>33</v>
      </c>
      <c r="G69" s="3" t="s">
        <v>218</v>
      </c>
      <c r="H69" s="5">
        <v>190</v>
      </c>
      <c r="I69" s="5">
        <f t="shared" si="0"/>
        <v>380</v>
      </c>
      <c r="J69" s="3" t="s">
        <v>20</v>
      </c>
      <c r="K69" s="3" t="s">
        <v>169</v>
      </c>
      <c r="L69" s="4">
        <v>45323</v>
      </c>
      <c r="M69" s="3" t="s">
        <v>20</v>
      </c>
      <c r="N69" s="3" t="s">
        <v>13</v>
      </c>
    </row>
    <row r="70" spans="1:14" ht="75">
      <c r="A70" s="3">
        <v>69</v>
      </c>
      <c r="B70" s="3" t="s">
        <v>144</v>
      </c>
      <c r="C70" s="3" t="s">
        <v>34</v>
      </c>
      <c r="D70" s="3" t="s">
        <v>35</v>
      </c>
      <c r="E70" s="11">
        <v>2</v>
      </c>
      <c r="F70" s="3" t="s">
        <v>33</v>
      </c>
      <c r="G70" s="3" t="s">
        <v>218</v>
      </c>
      <c r="H70" s="5">
        <v>92</v>
      </c>
      <c r="I70" s="5">
        <f t="shared" ref="I70:I133" si="1">E70*H70</f>
        <v>184</v>
      </c>
      <c r="J70" s="3" t="s">
        <v>20</v>
      </c>
      <c r="K70" s="3" t="s">
        <v>169</v>
      </c>
      <c r="L70" s="4">
        <v>45323</v>
      </c>
      <c r="M70" s="3" t="s">
        <v>20</v>
      </c>
      <c r="N70" s="3" t="s">
        <v>13</v>
      </c>
    </row>
    <row r="71" spans="1:14" ht="75">
      <c r="A71" s="3">
        <v>70</v>
      </c>
      <c r="B71" s="3" t="s">
        <v>147</v>
      </c>
      <c r="C71" s="3" t="s">
        <v>34</v>
      </c>
      <c r="D71" s="3" t="s">
        <v>35</v>
      </c>
      <c r="E71" s="11">
        <v>5</v>
      </c>
      <c r="F71" s="3" t="s">
        <v>33</v>
      </c>
      <c r="G71" s="3" t="s">
        <v>218</v>
      </c>
      <c r="H71" s="5">
        <v>60</v>
      </c>
      <c r="I71" s="5">
        <f t="shared" si="1"/>
        <v>300</v>
      </c>
      <c r="J71" s="3" t="s">
        <v>20</v>
      </c>
      <c r="K71" s="3" t="s">
        <v>169</v>
      </c>
      <c r="L71" s="4">
        <v>45323</v>
      </c>
      <c r="M71" s="3" t="s">
        <v>20</v>
      </c>
      <c r="N71" s="3" t="s">
        <v>13</v>
      </c>
    </row>
    <row r="72" spans="1:14" ht="75">
      <c r="A72" s="3">
        <v>71</v>
      </c>
      <c r="B72" s="3" t="s">
        <v>164</v>
      </c>
      <c r="C72" s="3" t="s">
        <v>34</v>
      </c>
      <c r="D72" s="3" t="s">
        <v>35</v>
      </c>
      <c r="E72" s="11">
        <v>2</v>
      </c>
      <c r="F72" s="3" t="s">
        <v>33</v>
      </c>
      <c r="G72" s="3" t="s">
        <v>218</v>
      </c>
      <c r="H72" s="5">
        <v>70</v>
      </c>
      <c r="I72" s="5">
        <f t="shared" si="1"/>
        <v>140</v>
      </c>
      <c r="J72" s="3" t="s">
        <v>20</v>
      </c>
      <c r="K72" s="3" t="s">
        <v>169</v>
      </c>
      <c r="L72" s="4">
        <v>45323</v>
      </c>
      <c r="M72" s="3" t="s">
        <v>20</v>
      </c>
      <c r="N72" s="3" t="s">
        <v>13</v>
      </c>
    </row>
    <row r="73" spans="1:14" ht="75">
      <c r="A73" s="3">
        <v>72</v>
      </c>
      <c r="B73" s="3" t="s">
        <v>149</v>
      </c>
      <c r="C73" s="3" t="s">
        <v>34</v>
      </c>
      <c r="D73" s="3" t="s">
        <v>35</v>
      </c>
      <c r="E73" s="11">
        <v>2</v>
      </c>
      <c r="F73" s="3" t="s">
        <v>33</v>
      </c>
      <c r="G73" s="3" t="s">
        <v>218</v>
      </c>
      <c r="H73" s="5">
        <v>86</v>
      </c>
      <c r="I73" s="5">
        <f t="shared" si="1"/>
        <v>172</v>
      </c>
      <c r="J73" s="3" t="s">
        <v>20</v>
      </c>
      <c r="K73" s="3" t="s">
        <v>169</v>
      </c>
      <c r="L73" s="4">
        <v>45323</v>
      </c>
      <c r="M73" s="3" t="s">
        <v>20</v>
      </c>
      <c r="N73" s="3" t="s">
        <v>13</v>
      </c>
    </row>
    <row r="74" spans="1:14" ht="75">
      <c r="A74" s="3">
        <v>73</v>
      </c>
      <c r="B74" s="3" t="s">
        <v>148</v>
      </c>
      <c r="C74" s="3" t="s">
        <v>34</v>
      </c>
      <c r="D74" s="3" t="s">
        <v>35</v>
      </c>
      <c r="E74" s="11">
        <v>2</v>
      </c>
      <c r="F74" s="3" t="s">
        <v>33</v>
      </c>
      <c r="G74" s="3" t="s">
        <v>218</v>
      </c>
      <c r="H74" s="5">
        <v>52</v>
      </c>
      <c r="I74" s="5">
        <f t="shared" si="1"/>
        <v>104</v>
      </c>
      <c r="J74" s="3" t="s">
        <v>20</v>
      </c>
      <c r="K74" s="3" t="s">
        <v>169</v>
      </c>
      <c r="L74" s="4">
        <v>45323</v>
      </c>
      <c r="M74" s="3" t="s">
        <v>20</v>
      </c>
      <c r="N74" s="3" t="s">
        <v>13</v>
      </c>
    </row>
    <row r="75" spans="1:14" ht="75">
      <c r="A75" s="3">
        <v>74</v>
      </c>
      <c r="B75" s="3" t="s">
        <v>146</v>
      </c>
      <c r="C75" s="3" t="s">
        <v>34</v>
      </c>
      <c r="D75" s="3" t="s">
        <v>35</v>
      </c>
      <c r="E75" s="11">
        <v>2</v>
      </c>
      <c r="F75" s="3" t="s">
        <v>33</v>
      </c>
      <c r="G75" s="3" t="s">
        <v>218</v>
      </c>
      <c r="H75" s="5">
        <v>33</v>
      </c>
      <c r="I75" s="5">
        <f t="shared" si="1"/>
        <v>66</v>
      </c>
      <c r="J75" s="3" t="s">
        <v>20</v>
      </c>
      <c r="K75" s="3" t="s">
        <v>169</v>
      </c>
      <c r="L75" s="4">
        <v>45323</v>
      </c>
      <c r="M75" s="3" t="s">
        <v>20</v>
      </c>
      <c r="N75" s="3" t="s">
        <v>13</v>
      </c>
    </row>
    <row r="76" spans="1:14" ht="75">
      <c r="A76" s="3">
        <v>75</v>
      </c>
      <c r="B76" s="3" t="s">
        <v>193</v>
      </c>
      <c r="C76" s="3" t="s">
        <v>34</v>
      </c>
      <c r="D76" s="3" t="s">
        <v>168</v>
      </c>
      <c r="E76" s="11">
        <v>1</v>
      </c>
      <c r="F76" s="3" t="s">
        <v>33</v>
      </c>
      <c r="G76" s="3" t="s">
        <v>226</v>
      </c>
      <c r="H76" s="5">
        <v>26640</v>
      </c>
      <c r="I76" s="5">
        <f t="shared" si="1"/>
        <v>26640</v>
      </c>
      <c r="J76" s="3" t="s">
        <v>20</v>
      </c>
      <c r="K76" s="3" t="s">
        <v>36</v>
      </c>
      <c r="L76" s="4">
        <v>45566</v>
      </c>
      <c r="M76" s="3" t="s">
        <v>20</v>
      </c>
      <c r="N76" s="3" t="s">
        <v>13</v>
      </c>
    </row>
    <row r="77" spans="1:14" ht="75">
      <c r="A77" s="3">
        <v>76</v>
      </c>
      <c r="B77" s="3" t="s">
        <v>194</v>
      </c>
      <c r="C77" s="3" t="s">
        <v>34</v>
      </c>
      <c r="D77" s="3" t="s">
        <v>168</v>
      </c>
      <c r="E77" s="11">
        <v>1</v>
      </c>
      <c r="F77" s="3" t="s">
        <v>33</v>
      </c>
      <c r="G77" s="3" t="s">
        <v>226</v>
      </c>
      <c r="H77" s="5">
        <v>2859.33</v>
      </c>
      <c r="I77" s="5">
        <f t="shared" si="1"/>
        <v>2859.33</v>
      </c>
      <c r="J77" s="3" t="s">
        <v>20</v>
      </c>
      <c r="K77" s="3" t="s">
        <v>36</v>
      </c>
      <c r="L77" s="4">
        <v>45566</v>
      </c>
      <c r="M77" s="3" t="s">
        <v>20</v>
      </c>
      <c r="N77" s="3" t="s">
        <v>13</v>
      </c>
    </row>
    <row r="78" spans="1:14" ht="75">
      <c r="A78" s="3">
        <v>77</v>
      </c>
      <c r="B78" s="3" t="s">
        <v>192</v>
      </c>
      <c r="C78" s="3" t="s">
        <v>34</v>
      </c>
      <c r="D78" s="3" t="s">
        <v>168</v>
      </c>
      <c r="E78" s="11">
        <v>1</v>
      </c>
      <c r="F78" s="3" t="s">
        <v>33</v>
      </c>
      <c r="G78" s="3" t="s">
        <v>226</v>
      </c>
      <c r="H78" s="5">
        <v>1600</v>
      </c>
      <c r="I78" s="5">
        <f t="shared" si="1"/>
        <v>1600</v>
      </c>
      <c r="J78" s="3" t="s">
        <v>20</v>
      </c>
      <c r="K78" s="3" t="s">
        <v>36</v>
      </c>
      <c r="L78" s="4">
        <v>45566</v>
      </c>
      <c r="M78" s="3" t="s">
        <v>20</v>
      </c>
      <c r="N78" s="3" t="s">
        <v>13</v>
      </c>
    </row>
    <row r="79" spans="1:14" ht="75">
      <c r="A79" s="3">
        <v>78</v>
      </c>
      <c r="B79" s="3" t="s">
        <v>167</v>
      </c>
      <c r="C79" s="3" t="s">
        <v>34</v>
      </c>
      <c r="D79" s="3" t="s">
        <v>168</v>
      </c>
      <c r="E79" s="11">
        <v>1</v>
      </c>
      <c r="F79" s="3" t="s">
        <v>33</v>
      </c>
      <c r="G79" s="3" t="s">
        <v>226</v>
      </c>
      <c r="H79" s="5">
        <v>1265.44</v>
      </c>
      <c r="I79" s="5">
        <f t="shared" si="1"/>
        <v>1265.44</v>
      </c>
      <c r="J79" s="3" t="s">
        <v>20</v>
      </c>
      <c r="K79" s="3" t="s">
        <v>169</v>
      </c>
      <c r="L79" s="4">
        <v>45627</v>
      </c>
      <c r="M79" s="3" t="s">
        <v>20</v>
      </c>
      <c r="N79" s="3" t="s">
        <v>13</v>
      </c>
    </row>
    <row r="80" spans="1:14" ht="90">
      <c r="A80" s="3">
        <v>79</v>
      </c>
      <c r="B80" s="3" t="s">
        <v>170</v>
      </c>
      <c r="C80" s="3" t="s">
        <v>25</v>
      </c>
      <c r="D80" s="3" t="s">
        <v>246</v>
      </c>
      <c r="E80" s="11">
        <v>1</v>
      </c>
      <c r="F80" s="3" t="s">
        <v>33</v>
      </c>
      <c r="G80" s="3" t="s">
        <v>228</v>
      </c>
      <c r="H80" s="5">
        <v>1000</v>
      </c>
      <c r="I80" s="5">
        <f t="shared" si="1"/>
        <v>1000</v>
      </c>
      <c r="J80" s="3" t="s">
        <v>20</v>
      </c>
      <c r="K80" s="3" t="s">
        <v>169</v>
      </c>
      <c r="L80" s="4">
        <v>44986</v>
      </c>
      <c r="M80" s="3" t="s">
        <v>20</v>
      </c>
      <c r="N80" s="3" t="s">
        <v>13</v>
      </c>
    </row>
    <row r="81" spans="1:14" ht="90">
      <c r="A81" s="3">
        <v>80</v>
      </c>
      <c r="B81" s="3" t="s">
        <v>166</v>
      </c>
      <c r="C81" s="3" t="s">
        <v>25</v>
      </c>
      <c r="D81" s="3" t="s">
        <v>246</v>
      </c>
      <c r="E81" s="11">
        <v>2</v>
      </c>
      <c r="F81" s="3" t="s">
        <v>33</v>
      </c>
      <c r="G81" s="3" t="s">
        <v>228</v>
      </c>
      <c r="H81" s="5">
        <v>370</v>
      </c>
      <c r="I81" s="5">
        <f t="shared" si="1"/>
        <v>740</v>
      </c>
      <c r="J81" s="3" t="s">
        <v>20</v>
      </c>
      <c r="K81" s="3" t="s">
        <v>21</v>
      </c>
      <c r="L81" s="4">
        <v>44986</v>
      </c>
      <c r="M81" s="3" t="s">
        <v>20</v>
      </c>
      <c r="N81" s="3" t="s">
        <v>13</v>
      </c>
    </row>
    <row r="82" spans="1:14" ht="75">
      <c r="A82" s="3">
        <v>81</v>
      </c>
      <c r="B82" s="3" t="s">
        <v>187</v>
      </c>
      <c r="C82" s="3" t="s">
        <v>25</v>
      </c>
      <c r="D82" s="3" t="s">
        <v>246</v>
      </c>
      <c r="E82" s="11">
        <v>20</v>
      </c>
      <c r="F82" s="3" t="s">
        <v>33</v>
      </c>
      <c r="G82" s="3" t="s">
        <v>237</v>
      </c>
      <c r="H82" s="5">
        <v>7</v>
      </c>
      <c r="I82" s="5">
        <f t="shared" si="1"/>
        <v>140</v>
      </c>
      <c r="J82" s="3" t="s">
        <v>20</v>
      </c>
      <c r="K82" s="3" t="s">
        <v>36</v>
      </c>
      <c r="L82" s="4">
        <v>45413</v>
      </c>
      <c r="M82" s="3" t="s">
        <v>20</v>
      </c>
      <c r="N82" s="3" t="s">
        <v>13</v>
      </c>
    </row>
    <row r="83" spans="1:14" ht="75">
      <c r="A83" s="3">
        <v>82</v>
      </c>
      <c r="B83" s="3" t="s">
        <v>74</v>
      </c>
      <c r="C83" s="3" t="s">
        <v>34</v>
      </c>
      <c r="D83" s="3" t="s">
        <v>35</v>
      </c>
      <c r="E83" s="11">
        <v>1000</v>
      </c>
      <c r="F83" s="3" t="s">
        <v>75</v>
      </c>
      <c r="G83" s="3" t="s">
        <v>210</v>
      </c>
      <c r="H83" s="5">
        <v>21.200400000000002</v>
      </c>
      <c r="I83" s="5">
        <f t="shared" si="1"/>
        <v>21200.400000000001</v>
      </c>
      <c r="J83" s="3" t="s">
        <v>20</v>
      </c>
      <c r="K83" s="3" t="s">
        <v>169</v>
      </c>
      <c r="L83" s="4">
        <v>45444</v>
      </c>
      <c r="M83" s="3" t="s">
        <v>20</v>
      </c>
      <c r="N83" s="3" t="s">
        <v>13</v>
      </c>
    </row>
    <row r="84" spans="1:14" ht="75">
      <c r="A84" s="3">
        <v>83</v>
      </c>
      <c r="B84" s="3" t="s">
        <v>279</v>
      </c>
      <c r="C84" s="3" t="s">
        <v>34</v>
      </c>
      <c r="D84" s="3" t="s">
        <v>35</v>
      </c>
      <c r="E84" s="11">
        <v>500</v>
      </c>
      <c r="F84" s="3" t="s">
        <v>33</v>
      </c>
      <c r="G84" s="3" t="s">
        <v>210</v>
      </c>
      <c r="H84" s="5">
        <f xml:space="preserve"> 30</f>
        <v>30</v>
      </c>
      <c r="I84" s="5">
        <f t="shared" si="1"/>
        <v>15000</v>
      </c>
      <c r="J84" s="3" t="s">
        <v>20</v>
      </c>
      <c r="K84" s="3" t="s">
        <v>169</v>
      </c>
      <c r="L84" s="4">
        <v>45444</v>
      </c>
      <c r="M84" s="3" t="s">
        <v>20</v>
      </c>
      <c r="N84" s="3" t="s">
        <v>13</v>
      </c>
    </row>
    <row r="85" spans="1:14" ht="75">
      <c r="A85" s="3">
        <v>84</v>
      </c>
      <c r="B85" s="3" t="s">
        <v>301</v>
      </c>
      <c r="C85" s="3" t="s">
        <v>25</v>
      </c>
      <c r="D85" s="3" t="s">
        <v>246</v>
      </c>
      <c r="E85" s="11">
        <v>5000</v>
      </c>
      <c r="F85" s="3" t="s">
        <v>75</v>
      </c>
      <c r="G85" s="3" t="s">
        <v>210</v>
      </c>
      <c r="H85" s="5">
        <v>5</v>
      </c>
      <c r="I85" s="5">
        <f t="shared" si="1"/>
        <v>25000</v>
      </c>
      <c r="J85" s="3" t="s">
        <v>20</v>
      </c>
      <c r="K85" s="3" t="s">
        <v>169</v>
      </c>
      <c r="L85" s="4">
        <v>45444</v>
      </c>
      <c r="M85" s="3" t="s">
        <v>20</v>
      </c>
      <c r="N85" s="3" t="s">
        <v>13</v>
      </c>
    </row>
    <row r="86" spans="1:14" ht="75">
      <c r="A86" s="3">
        <v>85</v>
      </c>
      <c r="B86" s="3" t="s">
        <v>153</v>
      </c>
      <c r="C86" s="3" t="s">
        <v>34</v>
      </c>
      <c r="D86" s="3" t="s">
        <v>35</v>
      </c>
      <c r="E86" s="11">
        <v>4600</v>
      </c>
      <c r="F86" s="3" t="s">
        <v>255</v>
      </c>
      <c r="G86" s="3" t="s">
        <v>220</v>
      </c>
      <c r="H86" s="5">
        <f>1.08*185/50</f>
        <v>3.9960000000000004</v>
      </c>
      <c r="I86" s="5">
        <f t="shared" si="1"/>
        <v>18381.600000000002</v>
      </c>
      <c r="J86" s="3" t="s">
        <v>20</v>
      </c>
      <c r="K86" s="3" t="s">
        <v>169</v>
      </c>
      <c r="L86" s="4">
        <v>45505</v>
      </c>
      <c r="M86" s="3" t="s">
        <v>20</v>
      </c>
      <c r="N86" s="3" t="s">
        <v>13</v>
      </c>
    </row>
    <row r="87" spans="1:14" ht="75">
      <c r="A87" s="3">
        <v>86</v>
      </c>
      <c r="B87" s="3" t="s">
        <v>277</v>
      </c>
      <c r="C87" s="3" t="s">
        <v>34</v>
      </c>
      <c r="D87" s="3" t="s">
        <v>35</v>
      </c>
      <c r="E87" s="11">
        <v>15</v>
      </c>
      <c r="F87" s="3" t="s">
        <v>60</v>
      </c>
      <c r="G87" s="3" t="s">
        <v>220</v>
      </c>
      <c r="H87" s="5">
        <v>1120</v>
      </c>
      <c r="I87" s="5">
        <f t="shared" si="1"/>
        <v>16800</v>
      </c>
      <c r="J87" s="3" t="s">
        <v>20</v>
      </c>
      <c r="K87" s="3" t="s">
        <v>169</v>
      </c>
      <c r="L87" s="4">
        <v>45505</v>
      </c>
      <c r="M87" s="3" t="s">
        <v>20</v>
      </c>
      <c r="N87" s="3" t="s">
        <v>13</v>
      </c>
    </row>
    <row r="88" spans="1:14" ht="75">
      <c r="A88" s="3">
        <v>87</v>
      </c>
      <c r="B88" s="3" t="s">
        <v>154</v>
      </c>
      <c r="C88" s="3" t="s">
        <v>34</v>
      </c>
      <c r="D88" s="3" t="s">
        <v>35</v>
      </c>
      <c r="E88" s="11">
        <v>180</v>
      </c>
      <c r="F88" s="3" t="s">
        <v>255</v>
      </c>
      <c r="G88" s="3" t="s">
        <v>220</v>
      </c>
      <c r="H88" s="5">
        <f>1.08*1432/25</f>
        <v>61.862400000000008</v>
      </c>
      <c r="I88" s="5">
        <f t="shared" si="1"/>
        <v>11135.232000000002</v>
      </c>
      <c r="J88" s="3" t="s">
        <v>20</v>
      </c>
      <c r="K88" s="3" t="s">
        <v>169</v>
      </c>
      <c r="L88" s="4">
        <v>45505</v>
      </c>
      <c r="M88" s="3" t="s">
        <v>20</v>
      </c>
      <c r="N88" s="3" t="s">
        <v>13</v>
      </c>
    </row>
    <row r="89" spans="1:14" ht="75">
      <c r="A89" s="3">
        <v>88</v>
      </c>
      <c r="B89" s="3" t="s">
        <v>152</v>
      </c>
      <c r="C89" s="3" t="s">
        <v>34</v>
      </c>
      <c r="D89" s="3" t="s">
        <v>35</v>
      </c>
      <c r="E89" s="11">
        <v>12000</v>
      </c>
      <c r="F89" s="3" t="s">
        <v>255</v>
      </c>
      <c r="G89" s="3" t="s">
        <v>220</v>
      </c>
      <c r="H89" s="5">
        <f>1.08*32/40</f>
        <v>0.8640000000000001</v>
      </c>
      <c r="I89" s="5">
        <f t="shared" si="1"/>
        <v>10368.000000000002</v>
      </c>
      <c r="J89" s="3" t="s">
        <v>20</v>
      </c>
      <c r="K89" s="3" t="s">
        <v>169</v>
      </c>
      <c r="L89" s="4">
        <v>45505</v>
      </c>
      <c r="M89" s="3" t="s">
        <v>20</v>
      </c>
      <c r="N89" s="3" t="s">
        <v>13</v>
      </c>
    </row>
    <row r="90" spans="1:14" ht="75">
      <c r="A90" s="3">
        <v>89</v>
      </c>
      <c r="B90" s="3" t="s">
        <v>150</v>
      </c>
      <c r="C90" s="3" t="s">
        <v>34</v>
      </c>
      <c r="D90" s="3" t="s">
        <v>35</v>
      </c>
      <c r="E90" s="11">
        <f>100</f>
        <v>100</v>
      </c>
      <c r="F90" s="3" t="s">
        <v>255</v>
      </c>
      <c r="G90" s="3" t="s">
        <v>220</v>
      </c>
      <c r="H90" s="5">
        <f>1.08*20</f>
        <v>21.6</v>
      </c>
      <c r="I90" s="5">
        <f t="shared" si="1"/>
        <v>2160</v>
      </c>
      <c r="J90" s="3" t="s">
        <v>20</v>
      </c>
      <c r="K90" s="3" t="s">
        <v>169</v>
      </c>
      <c r="L90" s="4">
        <v>45505</v>
      </c>
      <c r="M90" s="3" t="s">
        <v>20</v>
      </c>
      <c r="N90" s="3" t="s">
        <v>13</v>
      </c>
    </row>
    <row r="91" spans="1:14" ht="75">
      <c r="A91" s="3">
        <v>90</v>
      </c>
      <c r="B91" s="3" t="s">
        <v>151</v>
      </c>
      <c r="C91" s="3" t="s">
        <v>34</v>
      </c>
      <c r="D91" s="3" t="s">
        <v>35</v>
      </c>
      <c r="E91" s="11">
        <v>2</v>
      </c>
      <c r="F91" s="3" t="s">
        <v>255</v>
      </c>
      <c r="G91" s="3" t="s">
        <v>220</v>
      </c>
      <c r="H91" s="5">
        <f>1.08*78</f>
        <v>84.240000000000009</v>
      </c>
      <c r="I91" s="5">
        <f t="shared" si="1"/>
        <v>168.48000000000002</v>
      </c>
      <c r="J91" s="3" t="s">
        <v>20</v>
      </c>
      <c r="K91" s="3" t="s">
        <v>169</v>
      </c>
      <c r="L91" s="4">
        <v>45505</v>
      </c>
      <c r="M91" s="3" t="s">
        <v>20</v>
      </c>
      <c r="N91" s="3" t="s">
        <v>13</v>
      </c>
    </row>
    <row r="92" spans="1:14" ht="75">
      <c r="A92" s="3">
        <v>91</v>
      </c>
      <c r="B92" s="3" t="s">
        <v>161</v>
      </c>
      <c r="C92" s="3" t="s">
        <v>34</v>
      </c>
      <c r="D92" s="3" t="s">
        <v>35</v>
      </c>
      <c r="E92" s="11">
        <v>10</v>
      </c>
      <c r="F92" s="3" t="s">
        <v>163</v>
      </c>
      <c r="G92" s="3" t="s">
        <v>220</v>
      </c>
      <c r="H92" s="5">
        <v>210</v>
      </c>
      <c r="I92" s="5">
        <f t="shared" si="1"/>
        <v>2100</v>
      </c>
      <c r="J92" s="3" t="s">
        <v>20</v>
      </c>
      <c r="K92" s="3" t="s">
        <v>169</v>
      </c>
      <c r="L92" s="4">
        <v>45505</v>
      </c>
      <c r="M92" s="3" t="s">
        <v>20</v>
      </c>
      <c r="N92" s="3" t="s">
        <v>13</v>
      </c>
    </row>
    <row r="93" spans="1:14" ht="75">
      <c r="A93" s="3">
        <v>92</v>
      </c>
      <c r="B93" s="3" t="s">
        <v>162</v>
      </c>
      <c r="C93" s="3" t="s">
        <v>34</v>
      </c>
      <c r="D93" s="3" t="s">
        <v>35</v>
      </c>
      <c r="E93" s="11">
        <v>10</v>
      </c>
      <c r="F93" s="3" t="s">
        <v>163</v>
      </c>
      <c r="G93" s="3" t="s">
        <v>220</v>
      </c>
      <c r="H93" s="5">
        <v>180.4</v>
      </c>
      <c r="I93" s="5">
        <f t="shared" si="1"/>
        <v>1804</v>
      </c>
      <c r="J93" s="3" t="s">
        <v>20</v>
      </c>
      <c r="K93" s="3" t="s">
        <v>169</v>
      </c>
      <c r="L93" s="4">
        <v>45505</v>
      </c>
      <c r="M93" s="3" t="s">
        <v>20</v>
      </c>
      <c r="N93" s="3" t="s">
        <v>13</v>
      </c>
    </row>
    <row r="94" spans="1:14" ht="75">
      <c r="A94" s="3">
        <v>93</v>
      </c>
      <c r="B94" s="3" t="s">
        <v>199</v>
      </c>
      <c r="C94" s="3" t="s">
        <v>25</v>
      </c>
      <c r="D94" s="3" t="s">
        <v>246</v>
      </c>
      <c r="E94" s="11">
        <v>2</v>
      </c>
      <c r="F94" s="3" t="s">
        <v>33</v>
      </c>
      <c r="G94" s="3" t="s">
        <v>214</v>
      </c>
      <c r="H94" s="5">
        <v>40000</v>
      </c>
      <c r="I94" s="5">
        <f t="shared" si="1"/>
        <v>80000</v>
      </c>
      <c r="J94" s="3" t="s">
        <v>20</v>
      </c>
      <c r="K94" s="3" t="s">
        <v>36</v>
      </c>
      <c r="L94" s="4">
        <v>45444</v>
      </c>
      <c r="M94" s="3" t="s">
        <v>20</v>
      </c>
      <c r="N94" s="3" t="s">
        <v>13</v>
      </c>
    </row>
    <row r="95" spans="1:14" ht="75">
      <c r="A95" s="3">
        <v>94</v>
      </c>
      <c r="B95" s="3" t="s">
        <v>175</v>
      </c>
      <c r="C95" s="3" t="s">
        <v>25</v>
      </c>
      <c r="D95" s="3" t="s">
        <v>246</v>
      </c>
      <c r="E95" s="11">
        <v>10</v>
      </c>
      <c r="F95" s="3" t="s">
        <v>33</v>
      </c>
      <c r="G95" s="3" t="s">
        <v>214</v>
      </c>
      <c r="H95" s="5">
        <v>180</v>
      </c>
      <c r="I95" s="5">
        <f t="shared" si="1"/>
        <v>1800</v>
      </c>
      <c r="J95" s="3" t="s">
        <v>20</v>
      </c>
      <c r="K95" s="3" t="s">
        <v>169</v>
      </c>
      <c r="L95" s="4">
        <v>45444</v>
      </c>
      <c r="M95" s="3" t="s">
        <v>20</v>
      </c>
      <c r="N95" s="3" t="s">
        <v>13</v>
      </c>
    </row>
    <row r="96" spans="1:14" ht="75">
      <c r="A96" s="3">
        <v>95</v>
      </c>
      <c r="B96" s="3" t="s">
        <v>177</v>
      </c>
      <c r="C96" s="3" t="s">
        <v>25</v>
      </c>
      <c r="D96" s="3" t="s">
        <v>246</v>
      </c>
      <c r="E96" s="11">
        <v>10</v>
      </c>
      <c r="F96" s="3" t="s">
        <v>33</v>
      </c>
      <c r="G96" s="3" t="s">
        <v>214</v>
      </c>
      <c r="H96" s="5">
        <v>180</v>
      </c>
      <c r="I96" s="5">
        <f t="shared" si="1"/>
        <v>1800</v>
      </c>
      <c r="J96" s="3" t="s">
        <v>20</v>
      </c>
      <c r="K96" s="3" t="s">
        <v>169</v>
      </c>
      <c r="L96" s="4">
        <v>45444</v>
      </c>
      <c r="M96" s="3" t="s">
        <v>20</v>
      </c>
      <c r="N96" s="3" t="s">
        <v>13</v>
      </c>
    </row>
    <row r="97" spans="1:14" ht="75">
      <c r="A97" s="3">
        <v>96</v>
      </c>
      <c r="B97" s="3" t="s">
        <v>176</v>
      </c>
      <c r="C97" s="3" t="s">
        <v>25</v>
      </c>
      <c r="D97" s="3" t="s">
        <v>246</v>
      </c>
      <c r="E97" s="11">
        <v>5</v>
      </c>
      <c r="F97" s="3" t="s">
        <v>33</v>
      </c>
      <c r="G97" s="3" t="s">
        <v>214</v>
      </c>
      <c r="H97" s="5">
        <v>180</v>
      </c>
      <c r="I97" s="5">
        <f t="shared" si="1"/>
        <v>900</v>
      </c>
      <c r="J97" s="3" t="s">
        <v>20</v>
      </c>
      <c r="K97" s="3" t="s">
        <v>169</v>
      </c>
      <c r="L97" s="4">
        <v>45444</v>
      </c>
      <c r="M97" s="3" t="s">
        <v>20</v>
      </c>
      <c r="N97" s="3" t="s">
        <v>13</v>
      </c>
    </row>
    <row r="98" spans="1:14" ht="75">
      <c r="A98" s="3">
        <v>97</v>
      </c>
      <c r="B98" s="3" t="s">
        <v>247</v>
      </c>
      <c r="C98" s="3" t="s">
        <v>25</v>
      </c>
      <c r="D98" s="3" t="s">
        <v>246</v>
      </c>
      <c r="E98" s="11">
        <v>5</v>
      </c>
      <c r="F98" s="3" t="s">
        <v>33</v>
      </c>
      <c r="G98" s="3" t="s">
        <v>214</v>
      </c>
      <c r="H98" s="5">
        <v>180</v>
      </c>
      <c r="I98" s="5">
        <f t="shared" si="1"/>
        <v>900</v>
      </c>
      <c r="J98" s="3" t="s">
        <v>20</v>
      </c>
      <c r="K98" s="3" t="s">
        <v>169</v>
      </c>
      <c r="L98" s="4">
        <v>45444</v>
      </c>
      <c r="M98" s="3" t="s">
        <v>20</v>
      </c>
      <c r="N98" s="3" t="s">
        <v>13</v>
      </c>
    </row>
    <row r="99" spans="1:14" ht="75">
      <c r="A99" s="3">
        <v>98</v>
      </c>
      <c r="B99" s="3" t="s">
        <v>157</v>
      </c>
      <c r="C99" s="3" t="s">
        <v>25</v>
      </c>
      <c r="D99" s="3" t="s">
        <v>246</v>
      </c>
      <c r="E99" s="11">
        <v>3</v>
      </c>
      <c r="F99" s="3" t="s">
        <v>33</v>
      </c>
      <c r="G99" s="3" t="s">
        <v>214</v>
      </c>
      <c r="H99" s="5">
        <v>220</v>
      </c>
      <c r="I99" s="5">
        <f t="shared" si="1"/>
        <v>660</v>
      </c>
      <c r="J99" s="3" t="s">
        <v>20</v>
      </c>
      <c r="K99" s="3" t="s">
        <v>36</v>
      </c>
      <c r="L99" s="4">
        <v>45444</v>
      </c>
      <c r="M99" s="3" t="s">
        <v>20</v>
      </c>
      <c r="N99" s="3" t="s">
        <v>13</v>
      </c>
    </row>
    <row r="100" spans="1:14" ht="75">
      <c r="A100" s="3">
        <v>99</v>
      </c>
      <c r="B100" s="3" t="s">
        <v>119</v>
      </c>
      <c r="C100" s="3" t="s">
        <v>25</v>
      </c>
      <c r="D100" s="3" t="s">
        <v>246</v>
      </c>
      <c r="E100" s="11">
        <v>100</v>
      </c>
      <c r="F100" s="3" t="s">
        <v>75</v>
      </c>
      <c r="G100" s="3" t="s">
        <v>215</v>
      </c>
      <c r="H100" s="5">
        <v>102.60000000000001</v>
      </c>
      <c r="I100" s="5">
        <f t="shared" si="1"/>
        <v>10260</v>
      </c>
      <c r="J100" s="3" t="s">
        <v>20</v>
      </c>
      <c r="K100" s="3" t="s">
        <v>36</v>
      </c>
      <c r="L100" s="4">
        <v>45352</v>
      </c>
      <c r="M100" s="3" t="s">
        <v>20</v>
      </c>
      <c r="N100" s="3" t="s">
        <v>13</v>
      </c>
    </row>
    <row r="101" spans="1:14" ht="75">
      <c r="A101" s="3">
        <v>100</v>
      </c>
      <c r="B101" s="3" t="s">
        <v>116</v>
      </c>
      <c r="C101" s="3" t="s">
        <v>25</v>
      </c>
      <c r="D101" s="3" t="s">
        <v>246</v>
      </c>
      <c r="E101" s="11">
        <v>50</v>
      </c>
      <c r="F101" s="3" t="s">
        <v>75</v>
      </c>
      <c r="G101" s="3" t="s">
        <v>215</v>
      </c>
      <c r="H101" s="5">
        <v>82.080000000000013</v>
      </c>
      <c r="I101" s="5">
        <f t="shared" si="1"/>
        <v>4104.0000000000009</v>
      </c>
      <c r="J101" s="3" t="s">
        <v>20</v>
      </c>
      <c r="K101" s="3" t="s">
        <v>21</v>
      </c>
      <c r="L101" s="4">
        <v>45352</v>
      </c>
      <c r="M101" s="3" t="s">
        <v>20</v>
      </c>
      <c r="N101" s="3" t="s">
        <v>13</v>
      </c>
    </row>
    <row r="102" spans="1:14" ht="75">
      <c r="A102" s="3">
        <v>101</v>
      </c>
      <c r="B102" s="3" t="s">
        <v>129</v>
      </c>
      <c r="C102" s="3" t="s">
        <v>25</v>
      </c>
      <c r="D102" s="3" t="s">
        <v>246</v>
      </c>
      <c r="E102" s="11">
        <v>5000</v>
      </c>
      <c r="F102" s="3" t="s">
        <v>33</v>
      </c>
      <c r="G102" s="3" t="s">
        <v>215</v>
      </c>
      <c r="H102" s="5">
        <v>0.81</v>
      </c>
      <c r="I102" s="5">
        <f t="shared" si="1"/>
        <v>4050.0000000000005</v>
      </c>
      <c r="J102" s="3" t="s">
        <v>20</v>
      </c>
      <c r="K102" s="3" t="s">
        <v>36</v>
      </c>
      <c r="L102" s="4">
        <v>45352</v>
      </c>
      <c r="M102" s="3" t="s">
        <v>20</v>
      </c>
      <c r="N102" s="3" t="s">
        <v>13</v>
      </c>
    </row>
    <row r="103" spans="1:14" ht="75">
      <c r="A103" s="3">
        <v>102</v>
      </c>
      <c r="B103" s="3" t="s">
        <v>121</v>
      </c>
      <c r="C103" s="3" t="s">
        <v>25</v>
      </c>
      <c r="D103" s="3" t="s">
        <v>246</v>
      </c>
      <c r="E103" s="11">
        <v>250</v>
      </c>
      <c r="F103" s="3" t="s">
        <v>33</v>
      </c>
      <c r="G103" s="3" t="s">
        <v>215</v>
      </c>
      <c r="H103" s="5">
        <v>12.582000000000001</v>
      </c>
      <c r="I103" s="5">
        <f t="shared" si="1"/>
        <v>3145.5</v>
      </c>
      <c r="J103" s="3" t="s">
        <v>20</v>
      </c>
      <c r="K103" s="3" t="s">
        <v>36</v>
      </c>
      <c r="L103" s="4">
        <v>45352</v>
      </c>
      <c r="M103" s="3" t="s">
        <v>20</v>
      </c>
      <c r="N103" s="3" t="s">
        <v>13</v>
      </c>
    </row>
    <row r="104" spans="1:14" ht="75">
      <c r="A104" s="3">
        <v>103</v>
      </c>
      <c r="B104" s="3" t="s">
        <v>117</v>
      </c>
      <c r="C104" s="3" t="s">
        <v>25</v>
      </c>
      <c r="D104" s="3" t="s">
        <v>246</v>
      </c>
      <c r="E104" s="11">
        <v>100</v>
      </c>
      <c r="F104" s="3" t="s">
        <v>33</v>
      </c>
      <c r="G104" s="3" t="s">
        <v>215</v>
      </c>
      <c r="H104" s="5">
        <v>13.5</v>
      </c>
      <c r="I104" s="5">
        <f t="shared" si="1"/>
        <v>1350</v>
      </c>
      <c r="J104" s="3" t="s">
        <v>20</v>
      </c>
      <c r="K104" s="3" t="s">
        <v>36</v>
      </c>
      <c r="L104" s="4">
        <v>45352</v>
      </c>
      <c r="M104" s="3" t="s">
        <v>20</v>
      </c>
      <c r="N104" s="3" t="s">
        <v>13</v>
      </c>
    </row>
    <row r="105" spans="1:14" ht="75">
      <c r="A105" s="3">
        <v>104</v>
      </c>
      <c r="B105" s="3" t="s">
        <v>122</v>
      </c>
      <c r="C105" s="3" t="s">
        <v>25</v>
      </c>
      <c r="D105" s="3" t="s">
        <v>246</v>
      </c>
      <c r="E105" s="11">
        <v>250</v>
      </c>
      <c r="F105" s="3" t="s">
        <v>33</v>
      </c>
      <c r="G105" s="3" t="s">
        <v>215</v>
      </c>
      <c r="H105" s="5">
        <v>4.6051200000000003</v>
      </c>
      <c r="I105" s="5">
        <f t="shared" si="1"/>
        <v>1151.28</v>
      </c>
      <c r="J105" s="3" t="s">
        <v>20</v>
      </c>
      <c r="K105" s="3" t="s">
        <v>36</v>
      </c>
      <c r="L105" s="4">
        <v>45352</v>
      </c>
      <c r="M105" s="3" t="s">
        <v>20</v>
      </c>
      <c r="N105" s="3" t="s">
        <v>13</v>
      </c>
    </row>
    <row r="106" spans="1:14" ht="75">
      <c r="A106" s="3">
        <v>105</v>
      </c>
      <c r="B106" s="3" t="s">
        <v>120</v>
      </c>
      <c r="C106" s="3" t="s">
        <v>25</v>
      </c>
      <c r="D106" s="3" t="s">
        <v>246</v>
      </c>
      <c r="E106" s="11">
        <v>30</v>
      </c>
      <c r="F106" s="3" t="s">
        <v>75</v>
      </c>
      <c r="G106" s="3" t="s">
        <v>215</v>
      </c>
      <c r="H106" s="5">
        <v>43.2</v>
      </c>
      <c r="I106" s="5">
        <f t="shared" si="1"/>
        <v>1296</v>
      </c>
      <c r="J106" s="3" t="s">
        <v>20</v>
      </c>
      <c r="K106" s="3" t="s">
        <v>36</v>
      </c>
      <c r="L106" s="4">
        <v>45352</v>
      </c>
      <c r="M106" s="3" t="s">
        <v>20</v>
      </c>
      <c r="N106" s="3" t="s">
        <v>13</v>
      </c>
    </row>
    <row r="107" spans="1:14" ht="75">
      <c r="A107" s="3">
        <v>106</v>
      </c>
      <c r="B107" s="3" t="s">
        <v>118</v>
      </c>
      <c r="C107" s="3" t="s">
        <v>25</v>
      </c>
      <c r="D107" s="3" t="s">
        <v>246</v>
      </c>
      <c r="E107" s="11">
        <v>30</v>
      </c>
      <c r="F107" s="3" t="s">
        <v>75</v>
      </c>
      <c r="G107" s="3" t="s">
        <v>215</v>
      </c>
      <c r="H107" s="5">
        <v>38.880000000000003</v>
      </c>
      <c r="I107" s="5">
        <f t="shared" si="1"/>
        <v>1166.4000000000001</v>
      </c>
      <c r="J107" s="3" t="s">
        <v>20</v>
      </c>
      <c r="K107" s="3" t="s">
        <v>36</v>
      </c>
      <c r="L107" s="4">
        <v>45352</v>
      </c>
      <c r="M107" s="3" t="s">
        <v>20</v>
      </c>
      <c r="N107" s="3" t="s">
        <v>13</v>
      </c>
    </row>
    <row r="108" spans="1:14" ht="75">
      <c r="A108" s="3">
        <v>107</v>
      </c>
      <c r="B108" s="3" t="s">
        <v>130</v>
      </c>
      <c r="C108" s="3" t="s">
        <v>25</v>
      </c>
      <c r="D108" s="3" t="s">
        <v>246</v>
      </c>
      <c r="E108" s="11">
        <v>3000</v>
      </c>
      <c r="F108" s="3" t="s">
        <v>33</v>
      </c>
      <c r="G108" s="3" t="s">
        <v>215</v>
      </c>
      <c r="H108" s="5">
        <v>0.10800000000000001</v>
      </c>
      <c r="I108" s="5">
        <f t="shared" si="1"/>
        <v>324.00000000000006</v>
      </c>
      <c r="J108" s="3" t="s">
        <v>20</v>
      </c>
      <c r="K108" s="3" t="s">
        <v>36</v>
      </c>
      <c r="L108" s="4">
        <v>45352</v>
      </c>
      <c r="M108" s="3" t="s">
        <v>20</v>
      </c>
      <c r="N108" s="3" t="s">
        <v>13</v>
      </c>
    </row>
    <row r="109" spans="1:14" ht="75">
      <c r="A109" s="3">
        <v>108</v>
      </c>
      <c r="B109" s="3" t="s">
        <v>131</v>
      </c>
      <c r="C109" s="3" t="s">
        <v>25</v>
      </c>
      <c r="D109" s="3" t="s">
        <v>246</v>
      </c>
      <c r="E109" s="11">
        <v>500</v>
      </c>
      <c r="F109" s="3" t="s">
        <v>33</v>
      </c>
      <c r="G109" s="3" t="s">
        <v>215</v>
      </c>
      <c r="H109" s="5">
        <v>0.1188</v>
      </c>
      <c r="I109" s="5">
        <f t="shared" si="1"/>
        <v>59.4</v>
      </c>
      <c r="J109" s="3" t="s">
        <v>20</v>
      </c>
      <c r="K109" s="3" t="s">
        <v>36</v>
      </c>
      <c r="L109" s="4">
        <v>45352</v>
      </c>
      <c r="M109" s="3" t="s">
        <v>20</v>
      </c>
      <c r="N109" s="3" t="s">
        <v>13</v>
      </c>
    </row>
    <row r="110" spans="1:14" ht="75">
      <c r="A110" s="3">
        <v>109</v>
      </c>
      <c r="B110" s="3" t="s">
        <v>248</v>
      </c>
      <c r="C110" s="3" t="s">
        <v>25</v>
      </c>
      <c r="D110" s="3" t="s">
        <v>246</v>
      </c>
      <c r="E110" s="11">
        <v>10</v>
      </c>
      <c r="F110" s="3" t="s">
        <v>33</v>
      </c>
      <c r="G110" s="3" t="s">
        <v>236</v>
      </c>
      <c r="H110" s="5">
        <v>45</v>
      </c>
      <c r="I110" s="5">
        <f t="shared" si="1"/>
        <v>450</v>
      </c>
      <c r="J110" s="3" t="s">
        <v>20</v>
      </c>
      <c r="K110" s="3" t="s">
        <v>36</v>
      </c>
      <c r="L110" s="4">
        <v>45352</v>
      </c>
      <c r="M110" s="3" t="s">
        <v>20</v>
      </c>
      <c r="N110" s="3" t="s">
        <v>13</v>
      </c>
    </row>
    <row r="111" spans="1:14" ht="75">
      <c r="A111" s="3">
        <v>110</v>
      </c>
      <c r="B111" s="3" t="s">
        <v>203</v>
      </c>
      <c r="C111" s="3" t="s">
        <v>34</v>
      </c>
      <c r="D111" s="3" t="s">
        <v>168</v>
      </c>
      <c r="E111" s="11">
        <v>15</v>
      </c>
      <c r="F111" s="3" t="s">
        <v>33</v>
      </c>
      <c r="G111" s="3" t="s">
        <v>209</v>
      </c>
      <c r="H111" s="5">
        <v>510</v>
      </c>
      <c r="I111" s="5">
        <f t="shared" si="1"/>
        <v>7650</v>
      </c>
      <c r="J111" s="3" t="s">
        <v>20</v>
      </c>
      <c r="K111" s="3" t="s">
        <v>21</v>
      </c>
      <c r="L111" s="4">
        <v>45383</v>
      </c>
      <c r="M111" s="3" t="s">
        <v>20</v>
      </c>
      <c r="N111" s="3" t="s">
        <v>13</v>
      </c>
    </row>
    <row r="112" spans="1:14" ht="75">
      <c r="A112" s="3">
        <v>111</v>
      </c>
      <c r="B112" s="3" t="s">
        <v>132</v>
      </c>
      <c r="C112" s="3" t="s">
        <v>25</v>
      </c>
      <c r="D112" s="3" t="s">
        <v>246</v>
      </c>
      <c r="E112" s="11">
        <v>3</v>
      </c>
      <c r="F112" s="3" t="s">
        <v>33</v>
      </c>
      <c r="G112" s="3" t="s">
        <v>132</v>
      </c>
      <c r="H112" s="5">
        <v>2500</v>
      </c>
      <c r="I112" s="5">
        <f t="shared" si="1"/>
        <v>7500</v>
      </c>
      <c r="J112" s="3" t="s">
        <v>20</v>
      </c>
      <c r="K112" s="3" t="s">
        <v>36</v>
      </c>
      <c r="L112" s="4">
        <v>45505</v>
      </c>
      <c r="M112" s="3" t="s">
        <v>20</v>
      </c>
      <c r="N112" s="3" t="s">
        <v>13</v>
      </c>
    </row>
    <row r="113" spans="1:14" ht="75">
      <c r="A113" s="3">
        <v>112</v>
      </c>
      <c r="B113" s="3" t="s">
        <v>238</v>
      </c>
      <c r="C113" s="3" t="s">
        <v>34</v>
      </c>
      <c r="D113" s="3" t="s">
        <v>168</v>
      </c>
      <c r="E113" s="11">
        <v>10</v>
      </c>
      <c r="F113" s="3" t="s">
        <v>33</v>
      </c>
      <c r="G113" s="3" t="s">
        <v>209</v>
      </c>
      <c r="H113" s="5">
        <v>294.99</v>
      </c>
      <c r="I113" s="5">
        <f t="shared" si="1"/>
        <v>2949.9</v>
      </c>
      <c r="J113" s="3" t="s">
        <v>20</v>
      </c>
      <c r="K113" s="3" t="s">
        <v>21</v>
      </c>
      <c r="L113" s="4">
        <v>45383</v>
      </c>
      <c r="M113" s="3" t="s">
        <v>20</v>
      </c>
      <c r="N113" s="3" t="s">
        <v>13</v>
      </c>
    </row>
    <row r="114" spans="1:14" ht="75">
      <c r="A114" s="3">
        <v>113</v>
      </c>
      <c r="B114" s="3" t="s">
        <v>49</v>
      </c>
      <c r="C114" s="3" t="s">
        <v>34</v>
      </c>
      <c r="D114" s="3" t="s">
        <v>168</v>
      </c>
      <c r="E114" s="11">
        <v>2</v>
      </c>
      <c r="F114" s="3" t="s">
        <v>33</v>
      </c>
      <c r="G114" s="3" t="s">
        <v>209</v>
      </c>
      <c r="H114" s="5">
        <v>1162</v>
      </c>
      <c r="I114" s="5">
        <f t="shared" si="1"/>
        <v>2324</v>
      </c>
      <c r="J114" s="3" t="s">
        <v>20</v>
      </c>
      <c r="K114" s="3" t="s">
        <v>36</v>
      </c>
      <c r="L114" s="4">
        <v>45536</v>
      </c>
      <c r="M114" s="3" t="s">
        <v>20</v>
      </c>
      <c r="N114" s="3" t="s">
        <v>13</v>
      </c>
    </row>
    <row r="115" spans="1:14" ht="75">
      <c r="A115" s="3">
        <v>114</v>
      </c>
      <c r="B115" s="3" t="s">
        <v>189</v>
      </c>
      <c r="C115" s="3" t="s">
        <v>34</v>
      </c>
      <c r="D115" s="3" t="s">
        <v>168</v>
      </c>
      <c r="E115" s="11">
        <v>4</v>
      </c>
      <c r="F115" s="3" t="s">
        <v>33</v>
      </c>
      <c r="G115" s="3" t="s">
        <v>209</v>
      </c>
      <c r="H115" s="5">
        <v>550</v>
      </c>
      <c r="I115" s="5">
        <f t="shared" si="1"/>
        <v>2200</v>
      </c>
      <c r="J115" s="3" t="s">
        <v>20</v>
      </c>
      <c r="K115" s="3" t="s">
        <v>21</v>
      </c>
      <c r="L115" s="4">
        <v>45383</v>
      </c>
      <c r="M115" s="3" t="s">
        <v>20</v>
      </c>
      <c r="N115" s="3" t="s">
        <v>13</v>
      </c>
    </row>
    <row r="116" spans="1:14" ht="75">
      <c r="A116" s="3">
        <v>115</v>
      </c>
      <c r="B116" s="3" t="s">
        <v>66</v>
      </c>
      <c r="C116" s="3" t="s">
        <v>34</v>
      </c>
      <c r="D116" s="3" t="s">
        <v>168</v>
      </c>
      <c r="E116" s="11">
        <v>4</v>
      </c>
      <c r="F116" s="3" t="s">
        <v>33</v>
      </c>
      <c r="G116" s="3" t="s">
        <v>209</v>
      </c>
      <c r="H116" s="5">
        <v>375</v>
      </c>
      <c r="I116" s="5">
        <f t="shared" si="1"/>
        <v>1500</v>
      </c>
      <c r="J116" s="3" t="s">
        <v>20</v>
      </c>
      <c r="K116" s="3"/>
      <c r="L116" s="4"/>
      <c r="M116" s="3"/>
      <c r="N116" s="3" t="s">
        <v>13</v>
      </c>
    </row>
    <row r="117" spans="1:14" ht="75">
      <c r="A117" s="3">
        <v>116</v>
      </c>
      <c r="B117" s="3" t="s">
        <v>50</v>
      </c>
      <c r="C117" s="3" t="s">
        <v>34</v>
      </c>
      <c r="D117" s="3" t="s">
        <v>168</v>
      </c>
      <c r="E117" s="11">
        <v>1</v>
      </c>
      <c r="F117" s="3" t="s">
        <v>33</v>
      </c>
      <c r="G117" s="3" t="s">
        <v>209</v>
      </c>
      <c r="H117" s="5">
        <v>783</v>
      </c>
      <c r="I117" s="5">
        <f t="shared" si="1"/>
        <v>783</v>
      </c>
      <c r="J117" s="3" t="s">
        <v>20</v>
      </c>
      <c r="K117" s="3" t="s">
        <v>36</v>
      </c>
      <c r="L117" s="4">
        <v>45536</v>
      </c>
      <c r="M117" s="3" t="s">
        <v>20</v>
      </c>
      <c r="N117" s="3" t="s">
        <v>13</v>
      </c>
    </row>
    <row r="118" spans="1:14" ht="75">
      <c r="A118" s="3">
        <v>117</v>
      </c>
      <c r="B118" s="3" t="s">
        <v>197</v>
      </c>
      <c r="C118" s="3" t="s">
        <v>34</v>
      </c>
      <c r="D118" s="3" t="s">
        <v>35</v>
      </c>
      <c r="E118" s="11">
        <v>4</v>
      </c>
      <c r="F118" s="3" t="s">
        <v>33</v>
      </c>
      <c r="G118" s="3" t="s">
        <v>239</v>
      </c>
      <c r="H118" s="5">
        <v>3830</v>
      </c>
      <c r="I118" s="5">
        <f t="shared" si="1"/>
        <v>15320</v>
      </c>
      <c r="J118" s="3" t="s">
        <v>20</v>
      </c>
      <c r="K118" s="3" t="s">
        <v>169</v>
      </c>
      <c r="L118" s="4">
        <v>45444</v>
      </c>
      <c r="M118" s="3" t="s">
        <v>20</v>
      </c>
      <c r="N118" s="3" t="s">
        <v>13</v>
      </c>
    </row>
    <row r="119" spans="1:14" ht="75">
      <c r="A119" s="3">
        <v>118</v>
      </c>
      <c r="B119" s="3" t="s">
        <v>186</v>
      </c>
      <c r="C119" s="3" t="s">
        <v>34</v>
      </c>
      <c r="D119" s="3" t="s">
        <v>168</v>
      </c>
      <c r="E119" s="11">
        <v>5</v>
      </c>
      <c r="F119" s="3" t="s">
        <v>33</v>
      </c>
      <c r="G119" s="3" t="s">
        <v>235</v>
      </c>
      <c r="H119" s="5">
        <v>200</v>
      </c>
      <c r="I119" s="5">
        <f t="shared" si="1"/>
        <v>1000</v>
      </c>
      <c r="J119" s="3" t="s">
        <v>20</v>
      </c>
      <c r="K119" s="3" t="s">
        <v>36</v>
      </c>
      <c r="L119" s="4">
        <v>45627</v>
      </c>
      <c r="M119" s="3" t="s">
        <v>20</v>
      </c>
      <c r="N119" s="3" t="s">
        <v>13</v>
      </c>
    </row>
    <row r="120" spans="1:14" ht="75">
      <c r="A120" s="3">
        <v>119</v>
      </c>
      <c r="B120" s="3" t="s">
        <v>297</v>
      </c>
      <c r="C120" s="3" t="s">
        <v>34</v>
      </c>
      <c r="D120" s="3" t="s">
        <v>35</v>
      </c>
      <c r="E120" s="11">
        <v>150</v>
      </c>
      <c r="F120" s="3" t="s">
        <v>52</v>
      </c>
      <c r="G120" s="3" t="s">
        <v>211</v>
      </c>
      <c r="H120" s="5">
        <v>4.5360000000000005</v>
      </c>
      <c r="I120" s="5">
        <f t="shared" si="1"/>
        <v>680.40000000000009</v>
      </c>
      <c r="J120" s="3" t="s">
        <v>20</v>
      </c>
      <c r="K120" s="3" t="s">
        <v>36</v>
      </c>
      <c r="L120" s="4">
        <v>45474</v>
      </c>
      <c r="M120" s="3" t="s">
        <v>20</v>
      </c>
      <c r="N120" s="3" t="s">
        <v>13</v>
      </c>
    </row>
    <row r="121" spans="1:14" ht="75">
      <c r="A121" s="3">
        <v>120</v>
      </c>
      <c r="B121" s="3" t="s">
        <v>88</v>
      </c>
      <c r="C121" s="3" t="s">
        <v>34</v>
      </c>
      <c r="D121" s="3" t="s">
        <v>35</v>
      </c>
      <c r="E121" s="11">
        <v>500</v>
      </c>
      <c r="F121" s="3" t="s">
        <v>89</v>
      </c>
      <c r="G121" s="3" t="s">
        <v>211</v>
      </c>
      <c r="H121" s="5">
        <v>1.1340000000000001</v>
      </c>
      <c r="I121" s="5">
        <f t="shared" si="1"/>
        <v>567.00000000000011</v>
      </c>
      <c r="J121" s="3" t="s">
        <v>20</v>
      </c>
      <c r="K121" s="3" t="s">
        <v>169</v>
      </c>
      <c r="L121" s="4">
        <v>45474</v>
      </c>
      <c r="M121" s="3" t="s">
        <v>20</v>
      </c>
      <c r="N121" s="3" t="s">
        <v>13</v>
      </c>
    </row>
    <row r="122" spans="1:14" ht="75">
      <c r="A122" s="3">
        <v>121</v>
      </c>
      <c r="B122" s="3" t="s">
        <v>298</v>
      </c>
      <c r="C122" s="3" t="s">
        <v>34</v>
      </c>
      <c r="D122" s="3" t="s">
        <v>35</v>
      </c>
      <c r="E122" s="11">
        <v>3</v>
      </c>
      <c r="F122" s="3" t="s">
        <v>33</v>
      </c>
      <c r="G122" s="3" t="s">
        <v>211</v>
      </c>
      <c r="H122" s="5">
        <v>150.69</v>
      </c>
      <c r="I122" s="5">
        <f t="shared" si="1"/>
        <v>452.07</v>
      </c>
      <c r="J122" s="3" t="s">
        <v>20</v>
      </c>
      <c r="K122" s="3" t="s">
        <v>36</v>
      </c>
      <c r="L122" s="4">
        <v>45597</v>
      </c>
      <c r="M122" s="3" t="s">
        <v>20</v>
      </c>
      <c r="N122" s="3" t="s">
        <v>13</v>
      </c>
    </row>
    <row r="123" spans="1:14" ht="75">
      <c r="A123" s="3">
        <v>122</v>
      </c>
      <c r="B123" s="3" t="s">
        <v>44</v>
      </c>
      <c r="C123" s="3" t="s">
        <v>34</v>
      </c>
      <c r="D123" s="3" t="s">
        <v>35</v>
      </c>
      <c r="E123" s="11">
        <v>32</v>
      </c>
      <c r="F123" s="3" t="s">
        <v>57</v>
      </c>
      <c r="G123" s="3" t="s">
        <v>211</v>
      </c>
      <c r="H123" s="5">
        <v>6.5</v>
      </c>
      <c r="I123" s="5">
        <f t="shared" si="1"/>
        <v>208</v>
      </c>
      <c r="J123" s="3" t="s">
        <v>20</v>
      </c>
      <c r="K123" s="3" t="s">
        <v>36</v>
      </c>
      <c r="L123" s="4">
        <v>45376</v>
      </c>
      <c r="M123" s="3" t="s">
        <v>20</v>
      </c>
      <c r="N123" s="3" t="s">
        <v>13</v>
      </c>
    </row>
    <row r="124" spans="1:14" ht="75">
      <c r="A124" s="3">
        <v>123</v>
      </c>
      <c r="B124" s="3" t="s">
        <v>73</v>
      </c>
      <c r="C124" s="3" t="s">
        <v>34</v>
      </c>
      <c r="D124" s="3" t="s">
        <v>35</v>
      </c>
      <c r="E124" s="11">
        <v>20</v>
      </c>
      <c r="F124" s="3" t="s">
        <v>52</v>
      </c>
      <c r="G124" s="3" t="s">
        <v>211</v>
      </c>
      <c r="H124" s="5">
        <v>2.9160000000000004</v>
      </c>
      <c r="I124" s="5">
        <f t="shared" si="1"/>
        <v>58.320000000000007</v>
      </c>
      <c r="J124" s="3" t="s">
        <v>20</v>
      </c>
      <c r="K124" s="3" t="s">
        <v>36</v>
      </c>
      <c r="L124" s="4">
        <v>45474</v>
      </c>
      <c r="M124" s="3" t="s">
        <v>20</v>
      </c>
      <c r="N124" s="3" t="s">
        <v>13</v>
      </c>
    </row>
    <row r="125" spans="1:14" ht="75">
      <c r="A125" s="3">
        <v>124</v>
      </c>
      <c r="B125" s="3" t="s">
        <v>299</v>
      </c>
      <c r="C125" s="3" t="s">
        <v>34</v>
      </c>
      <c r="D125" s="3" t="s">
        <v>35</v>
      </c>
      <c r="E125" s="11">
        <v>24</v>
      </c>
      <c r="F125" s="3" t="s">
        <v>52</v>
      </c>
      <c r="G125" s="3" t="s">
        <v>211</v>
      </c>
      <c r="H125" s="5">
        <v>2.1816</v>
      </c>
      <c r="I125" s="5">
        <f t="shared" si="1"/>
        <v>52.358400000000003</v>
      </c>
      <c r="J125" s="3" t="s">
        <v>20</v>
      </c>
      <c r="K125" s="3" t="s">
        <v>36</v>
      </c>
      <c r="L125" s="4">
        <v>45474</v>
      </c>
      <c r="M125" s="3" t="s">
        <v>20</v>
      </c>
      <c r="N125" s="3" t="s">
        <v>13</v>
      </c>
    </row>
    <row r="126" spans="1:14" ht="75">
      <c r="A126" s="3">
        <v>125</v>
      </c>
      <c r="B126" s="3" t="s">
        <v>300</v>
      </c>
      <c r="C126" s="3" t="s">
        <v>34</v>
      </c>
      <c r="D126" s="3" t="s">
        <v>35</v>
      </c>
      <c r="E126" s="11">
        <v>5</v>
      </c>
      <c r="F126" s="3" t="s">
        <v>33</v>
      </c>
      <c r="G126" s="3" t="s">
        <v>211</v>
      </c>
      <c r="H126" s="5">
        <v>8.7696000000000005</v>
      </c>
      <c r="I126" s="5">
        <f t="shared" si="1"/>
        <v>43.847999999999999</v>
      </c>
      <c r="J126" s="3" t="s">
        <v>20</v>
      </c>
      <c r="K126" s="3" t="s">
        <v>36</v>
      </c>
      <c r="L126" s="4">
        <v>45474</v>
      </c>
      <c r="M126" s="3" t="s">
        <v>20</v>
      </c>
      <c r="N126" s="3" t="s">
        <v>13</v>
      </c>
    </row>
    <row r="127" spans="1:14" ht="75">
      <c r="A127" s="3">
        <v>126</v>
      </c>
      <c r="B127" s="3" t="s">
        <v>100</v>
      </c>
      <c r="C127" s="3" t="s">
        <v>34</v>
      </c>
      <c r="D127" s="3" t="s">
        <v>35</v>
      </c>
      <c r="E127" s="11">
        <v>6</v>
      </c>
      <c r="F127" s="3" t="s">
        <v>33</v>
      </c>
      <c r="G127" s="3" t="s">
        <v>211</v>
      </c>
      <c r="H127" s="5">
        <v>5.8752000000000004</v>
      </c>
      <c r="I127" s="5">
        <f t="shared" si="1"/>
        <v>35.251200000000004</v>
      </c>
      <c r="J127" s="3" t="s">
        <v>20</v>
      </c>
      <c r="K127" s="3" t="s">
        <v>36</v>
      </c>
      <c r="L127" s="4">
        <v>45474</v>
      </c>
      <c r="M127" s="3" t="s">
        <v>20</v>
      </c>
      <c r="N127" s="3" t="s">
        <v>13</v>
      </c>
    </row>
    <row r="128" spans="1:14" ht="75">
      <c r="A128" s="3">
        <v>127</v>
      </c>
      <c r="B128" s="3" t="s">
        <v>245</v>
      </c>
      <c r="C128" s="3" t="s">
        <v>34</v>
      </c>
      <c r="D128" s="3" t="s">
        <v>35</v>
      </c>
      <c r="E128" s="11">
        <v>4</v>
      </c>
      <c r="F128" s="3" t="s">
        <v>99</v>
      </c>
      <c r="G128" s="3" t="s">
        <v>211</v>
      </c>
      <c r="H128" s="5">
        <v>3.6</v>
      </c>
      <c r="I128" s="5">
        <f t="shared" si="1"/>
        <v>14.4</v>
      </c>
      <c r="J128" s="3" t="s">
        <v>20</v>
      </c>
      <c r="K128" s="3" t="s">
        <v>36</v>
      </c>
      <c r="L128" s="4">
        <v>45474</v>
      </c>
      <c r="M128" s="3" t="s">
        <v>20</v>
      </c>
      <c r="N128" s="3" t="s">
        <v>13</v>
      </c>
    </row>
    <row r="129" spans="1:14" ht="75">
      <c r="A129" s="3">
        <v>128</v>
      </c>
      <c r="B129" s="3" t="s">
        <v>90</v>
      </c>
      <c r="C129" s="3" t="s">
        <v>34</v>
      </c>
      <c r="D129" s="3" t="s">
        <v>35</v>
      </c>
      <c r="E129" s="11">
        <v>60</v>
      </c>
      <c r="F129" s="3" t="s">
        <v>52</v>
      </c>
      <c r="G129" s="3" t="s">
        <v>251</v>
      </c>
      <c r="H129" s="5">
        <v>34.56</v>
      </c>
      <c r="I129" s="5">
        <f t="shared" si="1"/>
        <v>2073.6000000000004</v>
      </c>
      <c r="J129" s="3" t="s">
        <v>20</v>
      </c>
      <c r="K129" s="3" t="s">
        <v>169</v>
      </c>
      <c r="L129" s="4">
        <v>45383</v>
      </c>
      <c r="M129" s="3" t="s">
        <v>20</v>
      </c>
      <c r="N129" s="3" t="s">
        <v>13</v>
      </c>
    </row>
    <row r="130" spans="1:14" ht="75">
      <c r="A130" s="3">
        <v>129</v>
      </c>
      <c r="B130" s="3" t="s">
        <v>93</v>
      </c>
      <c r="C130" s="3" t="s">
        <v>34</v>
      </c>
      <c r="D130" s="3" t="s">
        <v>35</v>
      </c>
      <c r="E130" s="11">
        <v>6</v>
      </c>
      <c r="F130" s="3" t="s">
        <v>33</v>
      </c>
      <c r="G130" s="3" t="s">
        <v>251</v>
      </c>
      <c r="H130" s="5">
        <v>32.886000000000003</v>
      </c>
      <c r="I130" s="5">
        <f t="shared" si="1"/>
        <v>197.31600000000003</v>
      </c>
      <c r="J130" s="3" t="s">
        <v>20</v>
      </c>
      <c r="K130" s="3" t="s">
        <v>169</v>
      </c>
      <c r="L130" s="4">
        <v>45383</v>
      </c>
      <c r="M130" s="3" t="s">
        <v>20</v>
      </c>
      <c r="N130" s="3" t="s">
        <v>13</v>
      </c>
    </row>
    <row r="131" spans="1:14" ht="75">
      <c r="A131" s="3">
        <v>130</v>
      </c>
      <c r="B131" s="3" t="s">
        <v>77</v>
      </c>
      <c r="C131" s="3" t="s">
        <v>34</v>
      </c>
      <c r="D131" s="3" t="s">
        <v>35</v>
      </c>
      <c r="E131" s="11">
        <v>5</v>
      </c>
      <c r="F131" s="3" t="s">
        <v>57</v>
      </c>
      <c r="G131" s="3" t="s">
        <v>251</v>
      </c>
      <c r="H131" s="5">
        <v>35.64</v>
      </c>
      <c r="I131" s="5">
        <f t="shared" si="1"/>
        <v>178.2</v>
      </c>
      <c r="J131" s="3" t="s">
        <v>20</v>
      </c>
      <c r="K131" s="3" t="s">
        <v>169</v>
      </c>
      <c r="L131" s="4">
        <v>45383</v>
      </c>
      <c r="M131" s="3" t="s">
        <v>20</v>
      </c>
      <c r="N131" s="3" t="s">
        <v>13</v>
      </c>
    </row>
    <row r="132" spans="1:14" ht="75">
      <c r="A132" s="3">
        <v>131</v>
      </c>
      <c r="B132" s="3" t="s">
        <v>95</v>
      </c>
      <c r="C132" s="3" t="s">
        <v>34</v>
      </c>
      <c r="D132" s="3" t="s">
        <v>35</v>
      </c>
      <c r="E132" s="11">
        <v>5</v>
      </c>
      <c r="F132" s="3" t="s">
        <v>33</v>
      </c>
      <c r="G132" s="3" t="s">
        <v>251</v>
      </c>
      <c r="H132" s="5">
        <v>29</v>
      </c>
      <c r="I132" s="5">
        <f t="shared" si="1"/>
        <v>145</v>
      </c>
      <c r="J132" s="3" t="s">
        <v>20</v>
      </c>
      <c r="K132" s="3" t="s">
        <v>169</v>
      </c>
      <c r="L132" s="4">
        <v>45383</v>
      </c>
      <c r="M132" s="3" t="s">
        <v>20</v>
      </c>
      <c r="N132" s="3" t="s">
        <v>13</v>
      </c>
    </row>
    <row r="133" spans="1:14" ht="75">
      <c r="A133" s="3">
        <v>132</v>
      </c>
      <c r="B133" s="3" t="s">
        <v>53</v>
      </c>
      <c r="C133" s="3" t="s">
        <v>34</v>
      </c>
      <c r="D133" s="3" t="s">
        <v>35</v>
      </c>
      <c r="E133" s="11">
        <v>150</v>
      </c>
      <c r="F133" s="3" t="s">
        <v>33</v>
      </c>
      <c r="G133" s="3" t="s">
        <v>251</v>
      </c>
      <c r="H133" s="5">
        <v>0.90720000000000001</v>
      </c>
      <c r="I133" s="5">
        <f t="shared" si="1"/>
        <v>136.08000000000001</v>
      </c>
      <c r="J133" s="3" t="s">
        <v>20</v>
      </c>
      <c r="K133" s="3" t="s">
        <v>169</v>
      </c>
      <c r="L133" s="4">
        <v>45383</v>
      </c>
      <c r="M133" s="3" t="s">
        <v>20</v>
      </c>
      <c r="N133" s="3" t="s">
        <v>13</v>
      </c>
    </row>
    <row r="134" spans="1:14" ht="75">
      <c r="A134" s="3">
        <v>133</v>
      </c>
      <c r="B134" s="3" t="s">
        <v>61</v>
      </c>
      <c r="C134" s="3" t="s">
        <v>34</v>
      </c>
      <c r="D134" s="3" t="s">
        <v>35</v>
      </c>
      <c r="E134" s="11">
        <v>200</v>
      </c>
      <c r="F134" s="3" t="s">
        <v>52</v>
      </c>
      <c r="G134" s="3" t="s">
        <v>251</v>
      </c>
      <c r="H134" s="5">
        <v>0.6</v>
      </c>
      <c r="I134" s="5">
        <f t="shared" ref="I134:I197" si="2">E134*H134</f>
        <v>120</v>
      </c>
      <c r="J134" s="3" t="s">
        <v>20</v>
      </c>
      <c r="K134" s="3" t="s">
        <v>169</v>
      </c>
      <c r="L134" s="4">
        <v>45383</v>
      </c>
      <c r="M134" s="3" t="s">
        <v>20</v>
      </c>
      <c r="N134" s="3" t="s">
        <v>13</v>
      </c>
    </row>
    <row r="135" spans="1:14" ht="75">
      <c r="A135" s="3">
        <v>134</v>
      </c>
      <c r="B135" s="3" t="s">
        <v>78</v>
      </c>
      <c r="C135" s="3" t="s">
        <v>34</v>
      </c>
      <c r="D135" s="3" t="s">
        <v>35</v>
      </c>
      <c r="E135" s="11">
        <v>6</v>
      </c>
      <c r="F135" s="3" t="s">
        <v>57</v>
      </c>
      <c r="G135" s="3" t="s">
        <v>251</v>
      </c>
      <c r="H135" s="5">
        <v>18.144000000000002</v>
      </c>
      <c r="I135" s="5">
        <f t="shared" si="2"/>
        <v>108.864</v>
      </c>
      <c r="J135" s="3" t="s">
        <v>20</v>
      </c>
      <c r="K135" s="3" t="s">
        <v>169</v>
      </c>
      <c r="L135" s="4">
        <v>45383</v>
      </c>
      <c r="M135" s="3" t="s">
        <v>20</v>
      </c>
      <c r="N135" s="3" t="s">
        <v>13</v>
      </c>
    </row>
    <row r="136" spans="1:14" ht="75">
      <c r="A136" s="3">
        <v>135</v>
      </c>
      <c r="B136" s="3" t="s">
        <v>109</v>
      </c>
      <c r="C136" s="3" t="s">
        <v>34</v>
      </c>
      <c r="D136" s="3" t="s">
        <v>35</v>
      </c>
      <c r="E136" s="11">
        <v>2</v>
      </c>
      <c r="F136" s="3" t="s">
        <v>33</v>
      </c>
      <c r="G136" s="3" t="s">
        <v>251</v>
      </c>
      <c r="H136" s="5">
        <v>40.823999999999998</v>
      </c>
      <c r="I136" s="5">
        <f t="shared" si="2"/>
        <v>81.647999999999996</v>
      </c>
      <c r="J136" s="3" t="s">
        <v>20</v>
      </c>
      <c r="K136" s="3" t="s">
        <v>169</v>
      </c>
      <c r="L136" s="4">
        <v>45383</v>
      </c>
      <c r="M136" s="3" t="s">
        <v>20</v>
      </c>
      <c r="N136" s="3" t="s">
        <v>13</v>
      </c>
    </row>
    <row r="137" spans="1:14" ht="75">
      <c r="A137" s="3">
        <v>136</v>
      </c>
      <c r="B137" s="3" t="s">
        <v>97</v>
      </c>
      <c r="C137" s="3" t="s">
        <v>34</v>
      </c>
      <c r="D137" s="3" t="s">
        <v>35</v>
      </c>
      <c r="E137" s="11">
        <v>2</v>
      </c>
      <c r="F137" s="3" t="s">
        <v>33</v>
      </c>
      <c r="G137" s="3" t="s">
        <v>251</v>
      </c>
      <c r="H137" s="5">
        <v>38.620800000000003</v>
      </c>
      <c r="I137" s="5">
        <f t="shared" si="2"/>
        <v>77.241600000000005</v>
      </c>
      <c r="J137" s="3" t="s">
        <v>20</v>
      </c>
      <c r="K137" s="3" t="s">
        <v>169</v>
      </c>
      <c r="L137" s="4">
        <v>45383</v>
      </c>
      <c r="M137" s="3" t="s">
        <v>20</v>
      </c>
      <c r="N137" s="3" t="s">
        <v>13</v>
      </c>
    </row>
    <row r="138" spans="1:14" ht="75">
      <c r="A138" s="3">
        <v>137</v>
      </c>
      <c r="B138" s="3" t="s">
        <v>79</v>
      </c>
      <c r="C138" s="3" t="s">
        <v>34</v>
      </c>
      <c r="D138" s="3" t="s">
        <v>35</v>
      </c>
      <c r="E138" s="11">
        <v>5</v>
      </c>
      <c r="F138" s="3" t="s">
        <v>33</v>
      </c>
      <c r="G138" s="3" t="s">
        <v>251</v>
      </c>
      <c r="H138" s="5">
        <v>13.608000000000001</v>
      </c>
      <c r="I138" s="5">
        <f t="shared" si="2"/>
        <v>68.040000000000006</v>
      </c>
      <c r="J138" s="3" t="s">
        <v>20</v>
      </c>
      <c r="K138" s="3" t="s">
        <v>169</v>
      </c>
      <c r="L138" s="4">
        <v>45383</v>
      </c>
      <c r="M138" s="3" t="s">
        <v>20</v>
      </c>
      <c r="N138" s="3" t="s">
        <v>13</v>
      </c>
    </row>
    <row r="139" spans="1:14" ht="75">
      <c r="A139" s="3">
        <v>138</v>
      </c>
      <c r="B139" s="3" t="s">
        <v>80</v>
      </c>
      <c r="C139" s="3" t="s">
        <v>34</v>
      </c>
      <c r="D139" s="3" t="s">
        <v>35</v>
      </c>
      <c r="E139" s="11">
        <v>5</v>
      </c>
      <c r="F139" s="3" t="s">
        <v>33</v>
      </c>
      <c r="G139" s="3" t="s">
        <v>251</v>
      </c>
      <c r="H139" s="5">
        <v>13.608000000000001</v>
      </c>
      <c r="I139" s="5">
        <f t="shared" si="2"/>
        <v>68.040000000000006</v>
      </c>
      <c r="J139" s="3" t="s">
        <v>20</v>
      </c>
      <c r="K139" s="3" t="s">
        <v>169</v>
      </c>
      <c r="L139" s="4">
        <v>45383</v>
      </c>
      <c r="M139" s="3" t="s">
        <v>20</v>
      </c>
      <c r="N139" s="3" t="s">
        <v>13</v>
      </c>
    </row>
    <row r="140" spans="1:14" ht="75">
      <c r="A140" s="3">
        <v>139</v>
      </c>
      <c r="B140" s="3" t="s">
        <v>76</v>
      </c>
      <c r="C140" s="3" t="s">
        <v>34</v>
      </c>
      <c r="D140" s="3" t="s">
        <v>35</v>
      </c>
      <c r="E140" s="11">
        <v>2</v>
      </c>
      <c r="F140" s="3" t="s">
        <v>33</v>
      </c>
      <c r="G140" s="3" t="s">
        <v>251</v>
      </c>
      <c r="H140" s="5">
        <v>29.700000000000003</v>
      </c>
      <c r="I140" s="5">
        <f t="shared" si="2"/>
        <v>59.400000000000006</v>
      </c>
      <c r="J140" s="3" t="s">
        <v>20</v>
      </c>
      <c r="K140" s="3" t="s">
        <v>169</v>
      </c>
      <c r="L140" s="4">
        <v>45383</v>
      </c>
      <c r="M140" s="3" t="s">
        <v>20</v>
      </c>
      <c r="N140" s="3" t="s">
        <v>13</v>
      </c>
    </row>
    <row r="141" spans="1:14" ht="75">
      <c r="A141" s="3">
        <v>140</v>
      </c>
      <c r="B141" s="3" t="s">
        <v>71</v>
      </c>
      <c r="C141" s="3" t="s">
        <v>34</v>
      </c>
      <c r="D141" s="3" t="s">
        <v>35</v>
      </c>
      <c r="E141" s="11">
        <v>6</v>
      </c>
      <c r="F141" s="3" t="s">
        <v>33</v>
      </c>
      <c r="G141" s="3" t="s">
        <v>251</v>
      </c>
      <c r="H141" s="5">
        <v>6.8579999999999997</v>
      </c>
      <c r="I141" s="5">
        <f t="shared" si="2"/>
        <v>41.147999999999996</v>
      </c>
      <c r="J141" s="3" t="s">
        <v>20</v>
      </c>
      <c r="K141" s="3" t="s">
        <v>169</v>
      </c>
      <c r="L141" s="4">
        <v>45383</v>
      </c>
      <c r="M141" s="3" t="s">
        <v>20</v>
      </c>
      <c r="N141" s="3" t="s">
        <v>13</v>
      </c>
    </row>
    <row r="142" spans="1:14" ht="75">
      <c r="A142" s="3">
        <v>141</v>
      </c>
      <c r="B142" s="3" t="s">
        <v>51</v>
      </c>
      <c r="C142" s="3" t="s">
        <v>34</v>
      </c>
      <c r="D142" s="3" t="s">
        <v>35</v>
      </c>
      <c r="E142" s="11">
        <v>1</v>
      </c>
      <c r="F142" s="3" t="s">
        <v>52</v>
      </c>
      <c r="G142" s="3" t="s">
        <v>251</v>
      </c>
      <c r="H142" s="5">
        <v>40.823999999999998</v>
      </c>
      <c r="I142" s="5">
        <f t="shared" si="2"/>
        <v>40.823999999999998</v>
      </c>
      <c r="J142" s="3" t="s">
        <v>20</v>
      </c>
      <c r="K142" s="3" t="s">
        <v>169</v>
      </c>
      <c r="L142" s="4">
        <v>45383</v>
      </c>
      <c r="M142" s="3" t="s">
        <v>20</v>
      </c>
      <c r="N142" s="3" t="s">
        <v>13</v>
      </c>
    </row>
    <row r="143" spans="1:14" ht="75">
      <c r="A143" s="3">
        <v>142</v>
      </c>
      <c r="B143" s="3" t="s">
        <v>98</v>
      </c>
      <c r="C143" s="3" t="s">
        <v>34</v>
      </c>
      <c r="D143" s="3" t="s">
        <v>35</v>
      </c>
      <c r="E143" s="11">
        <v>3</v>
      </c>
      <c r="F143" s="3" t="s">
        <v>33</v>
      </c>
      <c r="G143" s="3" t="s">
        <v>251</v>
      </c>
      <c r="H143" s="5">
        <v>13.155999999999999</v>
      </c>
      <c r="I143" s="5">
        <f t="shared" si="2"/>
        <v>39.467999999999996</v>
      </c>
      <c r="J143" s="3" t="s">
        <v>20</v>
      </c>
      <c r="K143" s="3" t="s">
        <v>169</v>
      </c>
      <c r="L143" s="4">
        <v>45383</v>
      </c>
      <c r="M143" s="3" t="s">
        <v>20</v>
      </c>
      <c r="N143" s="3" t="s">
        <v>13</v>
      </c>
    </row>
    <row r="144" spans="1:14" ht="75">
      <c r="A144" s="3">
        <v>143</v>
      </c>
      <c r="B144" s="3" t="s">
        <v>292</v>
      </c>
      <c r="C144" s="3" t="s">
        <v>34</v>
      </c>
      <c r="D144" s="3" t="s">
        <v>35</v>
      </c>
      <c r="E144" s="11">
        <v>2</v>
      </c>
      <c r="F144" s="3" t="s">
        <v>57</v>
      </c>
      <c r="G144" s="3" t="s">
        <v>251</v>
      </c>
      <c r="H144" s="5">
        <v>17.010000000000002</v>
      </c>
      <c r="I144" s="5">
        <f t="shared" si="2"/>
        <v>34.020000000000003</v>
      </c>
      <c r="J144" s="3" t="s">
        <v>20</v>
      </c>
      <c r="K144" s="3" t="s">
        <v>169</v>
      </c>
      <c r="L144" s="4">
        <v>45383</v>
      </c>
      <c r="M144" s="3" t="s">
        <v>20</v>
      </c>
      <c r="N144" s="3" t="s">
        <v>13</v>
      </c>
    </row>
    <row r="145" spans="1:14" ht="75">
      <c r="A145" s="3">
        <v>144</v>
      </c>
      <c r="B145" s="3" t="s">
        <v>293</v>
      </c>
      <c r="C145" s="3" t="s">
        <v>34</v>
      </c>
      <c r="D145" s="3" t="s">
        <v>35</v>
      </c>
      <c r="E145" s="11">
        <v>5</v>
      </c>
      <c r="F145" s="3" t="s">
        <v>52</v>
      </c>
      <c r="G145" s="3" t="s">
        <v>251</v>
      </c>
      <c r="H145" s="5">
        <v>4.0823999999999998</v>
      </c>
      <c r="I145" s="5">
        <f t="shared" si="2"/>
        <v>20.411999999999999</v>
      </c>
      <c r="J145" s="3" t="s">
        <v>20</v>
      </c>
      <c r="K145" s="3" t="s">
        <v>169</v>
      </c>
      <c r="L145" s="4">
        <v>45383</v>
      </c>
      <c r="M145" s="3" t="s">
        <v>20</v>
      </c>
      <c r="N145" s="3" t="s">
        <v>13</v>
      </c>
    </row>
    <row r="146" spans="1:14" ht="75">
      <c r="A146" s="3">
        <v>145</v>
      </c>
      <c r="B146" s="3" t="s">
        <v>70</v>
      </c>
      <c r="C146" s="3" t="s">
        <v>34</v>
      </c>
      <c r="D146" s="3" t="s">
        <v>35</v>
      </c>
      <c r="E146" s="11">
        <v>6</v>
      </c>
      <c r="F146" s="3" t="s">
        <v>33</v>
      </c>
      <c r="G146" s="3" t="s">
        <v>251</v>
      </c>
      <c r="H146" s="5">
        <v>3.2076000000000002</v>
      </c>
      <c r="I146" s="5">
        <f t="shared" si="2"/>
        <v>19.245600000000003</v>
      </c>
      <c r="J146" s="3" t="s">
        <v>20</v>
      </c>
      <c r="K146" s="3" t="s">
        <v>169</v>
      </c>
      <c r="L146" s="4">
        <v>45383</v>
      </c>
      <c r="M146" s="3" t="s">
        <v>20</v>
      </c>
      <c r="N146" s="3" t="s">
        <v>13</v>
      </c>
    </row>
    <row r="147" spans="1:14" ht="75">
      <c r="A147" s="3">
        <v>146</v>
      </c>
      <c r="B147" s="3" t="s">
        <v>67</v>
      </c>
      <c r="C147" s="3" t="s">
        <v>34</v>
      </c>
      <c r="D147" s="3" t="s">
        <v>35</v>
      </c>
      <c r="E147" s="11">
        <v>6</v>
      </c>
      <c r="F147" s="3" t="s">
        <v>33</v>
      </c>
      <c r="G147" s="3" t="s">
        <v>251</v>
      </c>
      <c r="H147" s="5">
        <v>3.1752000000000002</v>
      </c>
      <c r="I147" s="5">
        <f t="shared" si="2"/>
        <v>19.051200000000001</v>
      </c>
      <c r="J147" s="3" t="s">
        <v>20</v>
      </c>
      <c r="K147" s="3" t="s">
        <v>169</v>
      </c>
      <c r="L147" s="4">
        <v>45383</v>
      </c>
      <c r="M147" s="3" t="s">
        <v>20</v>
      </c>
      <c r="N147" s="3" t="s">
        <v>13</v>
      </c>
    </row>
    <row r="148" spans="1:14" ht="75">
      <c r="A148" s="3">
        <v>147</v>
      </c>
      <c r="B148" s="3" t="s">
        <v>69</v>
      </c>
      <c r="C148" s="3" t="s">
        <v>34</v>
      </c>
      <c r="D148" s="3" t="s">
        <v>35</v>
      </c>
      <c r="E148" s="11">
        <v>4</v>
      </c>
      <c r="F148" s="3" t="s">
        <v>33</v>
      </c>
      <c r="G148" s="3" t="s">
        <v>251</v>
      </c>
      <c r="H148" s="5">
        <v>3.528</v>
      </c>
      <c r="I148" s="5">
        <f t="shared" si="2"/>
        <v>14.112</v>
      </c>
      <c r="J148" s="3" t="s">
        <v>20</v>
      </c>
      <c r="K148" s="3" t="s">
        <v>169</v>
      </c>
      <c r="L148" s="4">
        <v>45383</v>
      </c>
      <c r="M148" s="3" t="s">
        <v>20</v>
      </c>
      <c r="N148" s="3" t="s">
        <v>13</v>
      </c>
    </row>
    <row r="149" spans="1:14" ht="75">
      <c r="A149" s="3">
        <v>148</v>
      </c>
      <c r="B149" s="3" t="s">
        <v>56</v>
      </c>
      <c r="C149" s="3" t="s">
        <v>34</v>
      </c>
      <c r="D149" s="3" t="s">
        <v>35</v>
      </c>
      <c r="E149" s="11">
        <v>6</v>
      </c>
      <c r="F149" s="3" t="s">
        <v>57</v>
      </c>
      <c r="G149" s="3" t="s">
        <v>251</v>
      </c>
      <c r="H149" s="5">
        <v>2.2680000000000002</v>
      </c>
      <c r="I149" s="5">
        <f t="shared" si="2"/>
        <v>13.608000000000001</v>
      </c>
      <c r="J149" s="3" t="s">
        <v>20</v>
      </c>
      <c r="K149" s="3" t="s">
        <v>169</v>
      </c>
      <c r="L149" s="4">
        <v>45383</v>
      </c>
      <c r="M149" s="3" t="s">
        <v>20</v>
      </c>
      <c r="N149" s="3" t="s">
        <v>13</v>
      </c>
    </row>
    <row r="150" spans="1:14" ht="75">
      <c r="A150" s="3">
        <v>149</v>
      </c>
      <c r="B150" s="3" t="s">
        <v>294</v>
      </c>
      <c r="C150" s="3" t="s">
        <v>34</v>
      </c>
      <c r="D150" s="3" t="s">
        <v>35</v>
      </c>
      <c r="E150" s="11">
        <v>5</v>
      </c>
      <c r="F150" s="3" t="s">
        <v>33</v>
      </c>
      <c r="G150" s="3" t="s">
        <v>251</v>
      </c>
      <c r="H150" s="5">
        <v>2.7216</v>
      </c>
      <c r="I150" s="5">
        <f t="shared" si="2"/>
        <v>13.608000000000001</v>
      </c>
      <c r="J150" s="3" t="s">
        <v>20</v>
      </c>
      <c r="K150" s="3" t="s">
        <v>169</v>
      </c>
      <c r="L150" s="4">
        <v>45383</v>
      </c>
      <c r="M150" s="3" t="s">
        <v>20</v>
      </c>
      <c r="N150" s="3" t="s">
        <v>13</v>
      </c>
    </row>
    <row r="151" spans="1:14" ht="75">
      <c r="A151" s="3">
        <v>150</v>
      </c>
      <c r="B151" s="3" t="s">
        <v>72</v>
      </c>
      <c r="C151" s="3" t="s">
        <v>34</v>
      </c>
      <c r="D151" s="3" t="s">
        <v>35</v>
      </c>
      <c r="E151" s="11">
        <v>2</v>
      </c>
      <c r="F151" s="3" t="s">
        <v>33</v>
      </c>
      <c r="G151" s="3" t="s">
        <v>251</v>
      </c>
      <c r="H151" s="5">
        <v>6.6420000000000012</v>
      </c>
      <c r="I151" s="5">
        <f t="shared" si="2"/>
        <v>13.284000000000002</v>
      </c>
      <c r="J151" s="3" t="s">
        <v>20</v>
      </c>
      <c r="K151" s="3" t="s">
        <v>169</v>
      </c>
      <c r="L151" s="4">
        <v>45383</v>
      </c>
      <c r="M151" s="3" t="s">
        <v>20</v>
      </c>
      <c r="N151" s="3" t="s">
        <v>13</v>
      </c>
    </row>
    <row r="152" spans="1:14" ht="75">
      <c r="A152" s="3">
        <v>151</v>
      </c>
      <c r="B152" s="3" t="s">
        <v>280</v>
      </c>
      <c r="C152" s="3" t="s">
        <v>34</v>
      </c>
      <c r="D152" s="3" t="s">
        <v>35</v>
      </c>
      <c r="E152" s="11">
        <v>4</v>
      </c>
      <c r="F152" s="3" t="s">
        <v>33</v>
      </c>
      <c r="G152" s="3" t="s">
        <v>251</v>
      </c>
      <c r="H152" s="5">
        <v>3.1752000000000002</v>
      </c>
      <c r="I152" s="5">
        <f t="shared" si="2"/>
        <v>12.700800000000001</v>
      </c>
      <c r="J152" s="3" t="s">
        <v>20</v>
      </c>
      <c r="K152" s="3" t="s">
        <v>169</v>
      </c>
      <c r="L152" s="4">
        <v>45383</v>
      </c>
      <c r="M152" s="3" t="s">
        <v>20</v>
      </c>
      <c r="N152" s="3" t="s">
        <v>13</v>
      </c>
    </row>
    <row r="153" spans="1:14" ht="75">
      <c r="A153" s="3">
        <v>152</v>
      </c>
      <c r="B153" s="3" t="s">
        <v>68</v>
      </c>
      <c r="C153" s="3" t="s">
        <v>34</v>
      </c>
      <c r="D153" s="3" t="s">
        <v>35</v>
      </c>
      <c r="E153" s="11">
        <v>2</v>
      </c>
      <c r="F153" s="3" t="s">
        <v>57</v>
      </c>
      <c r="G153" s="3" t="s">
        <v>251</v>
      </c>
      <c r="H153" s="5">
        <v>6.0840000000000005</v>
      </c>
      <c r="I153" s="5">
        <f t="shared" si="2"/>
        <v>12.168000000000001</v>
      </c>
      <c r="J153" s="3" t="s">
        <v>20</v>
      </c>
      <c r="K153" s="3" t="s">
        <v>169</v>
      </c>
      <c r="L153" s="4">
        <v>45383</v>
      </c>
      <c r="M153" s="3" t="s">
        <v>20</v>
      </c>
      <c r="N153" s="3" t="s">
        <v>13</v>
      </c>
    </row>
    <row r="154" spans="1:14" ht="75">
      <c r="A154" s="3">
        <v>153</v>
      </c>
      <c r="B154" s="3" t="s">
        <v>94</v>
      </c>
      <c r="C154" s="3" t="s">
        <v>34</v>
      </c>
      <c r="D154" s="3" t="s">
        <v>35</v>
      </c>
      <c r="E154" s="11">
        <v>6</v>
      </c>
      <c r="F154" s="3" t="s">
        <v>33</v>
      </c>
      <c r="G154" s="3" t="s">
        <v>251</v>
      </c>
      <c r="H154" s="5">
        <v>2.016</v>
      </c>
      <c r="I154" s="5">
        <f t="shared" si="2"/>
        <v>12.096</v>
      </c>
      <c r="J154" s="3" t="s">
        <v>20</v>
      </c>
      <c r="K154" s="3" t="s">
        <v>169</v>
      </c>
      <c r="L154" s="4">
        <v>45383</v>
      </c>
      <c r="M154" s="3" t="s">
        <v>20</v>
      </c>
      <c r="N154" s="3" t="s">
        <v>13</v>
      </c>
    </row>
    <row r="155" spans="1:14" ht="75">
      <c r="A155" s="3">
        <v>154</v>
      </c>
      <c r="B155" s="3" t="s">
        <v>281</v>
      </c>
      <c r="C155" s="3" t="s">
        <v>34</v>
      </c>
      <c r="D155" s="3" t="s">
        <v>35</v>
      </c>
      <c r="E155" s="11">
        <v>2</v>
      </c>
      <c r="F155" s="3" t="s">
        <v>33</v>
      </c>
      <c r="G155" s="3" t="s">
        <v>251</v>
      </c>
      <c r="H155" s="5">
        <v>5.8500000000000005</v>
      </c>
      <c r="I155" s="5">
        <f t="shared" si="2"/>
        <v>11.700000000000001</v>
      </c>
      <c r="J155" s="3" t="s">
        <v>20</v>
      </c>
      <c r="K155" s="3" t="s">
        <v>169</v>
      </c>
      <c r="L155" s="4">
        <v>45383</v>
      </c>
      <c r="M155" s="3" t="s">
        <v>20</v>
      </c>
      <c r="N155" s="3" t="s">
        <v>13</v>
      </c>
    </row>
    <row r="156" spans="1:14" ht="75">
      <c r="A156" s="3">
        <v>155</v>
      </c>
      <c r="B156" s="3" t="s">
        <v>54</v>
      </c>
      <c r="C156" s="3" t="s">
        <v>34</v>
      </c>
      <c r="D156" s="3" t="s">
        <v>35</v>
      </c>
      <c r="E156" s="11">
        <v>12</v>
      </c>
      <c r="F156" s="3" t="s">
        <v>33</v>
      </c>
      <c r="G156" s="3" t="s">
        <v>251</v>
      </c>
      <c r="H156" s="5">
        <v>0.90720000000000001</v>
      </c>
      <c r="I156" s="5">
        <f t="shared" si="2"/>
        <v>10.8864</v>
      </c>
      <c r="J156" s="3" t="s">
        <v>20</v>
      </c>
      <c r="K156" s="3" t="s">
        <v>169</v>
      </c>
      <c r="L156" s="4">
        <v>45383</v>
      </c>
      <c r="M156" s="3" t="s">
        <v>20</v>
      </c>
      <c r="N156" s="3" t="s">
        <v>13</v>
      </c>
    </row>
    <row r="157" spans="1:14" ht="75">
      <c r="A157" s="3">
        <v>156</v>
      </c>
      <c r="B157" s="3" t="s">
        <v>295</v>
      </c>
      <c r="C157" s="3" t="s">
        <v>34</v>
      </c>
      <c r="D157" s="3" t="s">
        <v>35</v>
      </c>
      <c r="E157" s="11">
        <v>2</v>
      </c>
      <c r="F157" s="3" t="s">
        <v>33</v>
      </c>
      <c r="G157" s="3" t="s">
        <v>251</v>
      </c>
      <c r="H157" s="5">
        <v>4.1520000000000001</v>
      </c>
      <c r="I157" s="5">
        <f t="shared" si="2"/>
        <v>8.3040000000000003</v>
      </c>
      <c r="J157" s="3" t="s">
        <v>20</v>
      </c>
      <c r="K157" s="3" t="s">
        <v>169</v>
      </c>
      <c r="L157" s="4">
        <v>45383</v>
      </c>
      <c r="M157" s="3" t="s">
        <v>20</v>
      </c>
      <c r="N157" s="3" t="s">
        <v>13</v>
      </c>
    </row>
    <row r="158" spans="1:14" ht="75">
      <c r="A158" s="3">
        <v>157</v>
      </c>
      <c r="B158" s="3" t="s">
        <v>55</v>
      </c>
      <c r="C158" s="3" t="s">
        <v>34</v>
      </c>
      <c r="D158" s="3" t="s">
        <v>35</v>
      </c>
      <c r="E158" s="11">
        <v>3</v>
      </c>
      <c r="F158" s="3" t="s">
        <v>33</v>
      </c>
      <c r="G158" s="3" t="s">
        <v>251</v>
      </c>
      <c r="H158" s="5">
        <v>2.7216</v>
      </c>
      <c r="I158" s="5">
        <f t="shared" si="2"/>
        <v>8.1647999999999996</v>
      </c>
      <c r="J158" s="3" t="s">
        <v>20</v>
      </c>
      <c r="K158" s="3" t="s">
        <v>169</v>
      </c>
      <c r="L158" s="4">
        <v>45383</v>
      </c>
      <c r="M158" s="3" t="s">
        <v>20</v>
      </c>
      <c r="N158" s="3" t="s">
        <v>13</v>
      </c>
    </row>
    <row r="159" spans="1:14" ht="75">
      <c r="A159" s="3">
        <v>158</v>
      </c>
      <c r="B159" s="3" t="s">
        <v>101</v>
      </c>
      <c r="C159" s="3" t="s">
        <v>34</v>
      </c>
      <c r="D159" s="3" t="s">
        <v>35</v>
      </c>
      <c r="E159" s="11">
        <v>2</v>
      </c>
      <c r="F159" s="3" t="s">
        <v>33</v>
      </c>
      <c r="G159" s="3" t="s">
        <v>251</v>
      </c>
      <c r="H159" s="5">
        <v>3.6288</v>
      </c>
      <c r="I159" s="5">
        <f t="shared" si="2"/>
        <v>7.2576000000000001</v>
      </c>
      <c r="J159" s="3" t="s">
        <v>20</v>
      </c>
      <c r="K159" s="3" t="s">
        <v>169</v>
      </c>
      <c r="L159" s="4">
        <v>45383</v>
      </c>
      <c r="M159" s="3" t="s">
        <v>20</v>
      </c>
      <c r="N159" s="3" t="s">
        <v>13</v>
      </c>
    </row>
    <row r="160" spans="1:14" ht="75">
      <c r="A160" s="3">
        <v>159</v>
      </c>
      <c r="B160" s="3" t="s">
        <v>102</v>
      </c>
      <c r="C160" s="3" t="s">
        <v>34</v>
      </c>
      <c r="D160" s="3" t="s">
        <v>35</v>
      </c>
      <c r="E160" s="11">
        <v>2</v>
      </c>
      <c r="F160" s="3" t="s">
        <v>33</v>
      </c>
      <c r="G160" s="3" t="s">
        <v>251</v>
      </c>
      <c r="H160" s="5">
        <v>3.6288</v>
      </c>
      <c r="I160" s="5">
        <f t="shared" si="2"/>
        <v>7.2576000000000001</v>
      </c>
      <c r="J160" s="3" t="s">
        <v>20</v>
      </c>
      <c r="K160" s="3" t="s">
        <v>169</v>
      </c>
      <c r="L160" s="4">
        <v>45383</v>
      </c>
      <c r="M160" s="3" t="s">
        <v>20</v>
      </c>
      <c r="N160" s="3" t="s">
        <v>13</v>
      </c>
    </row>
    <row r="161" spans="1:14" ht="75">
      <c r="A161" s="3">
        <v>160</v>
      </c>
      <c r="B161" s="3" t="s">
        <v>48</v>
      </c>
      <c r="C161" s="3" t="s">
        <v>34</v>
      </c>
      <c r="D161" s="3" t="s">
        <v>35</v>
      </c>
      <c r="E161" s="11">
        <v>2</v>
      </c>
      <c r="F161" s="3" t="s">
        <v>33</v>
      </c>
      <c r="G161" s="3" t="s">
        <v>251</v>
      </c>
      <c r="H161" s="5">
        <v>0.33480000000000004</v>
      </c>
      <c r="I161" s="5">
        <f t="shared" si="2"/>
        <v>0.66960000000000008</v>
      </c>
      <c r="J161" s="3" t="s">
        <v>20</v>
      </c>
      <c r="K161" s="3" t="s">
        <v>169</v>
      </c>
      <c r="L161" s="4">
        <v>45383</v>
      </c>
      <c r="M161" s="3" t="s">
        <v>20</v>
      </c>
      <c r="N161" s="3" t="s">
        <v>13</v>
      </c>
    </row>
    <row r="162" spans="1:14" ht="75">
      <c r="A162" s="3">
        <v>161</v>
      </c>
      <c r="B162" s="3" t="s">
        <v>106</v>
      </c>
      <c r="C162" s="3" t="s">
        <v>34</v>
      </c>
      <c r="D162" s="3" t="s">
        <v>35</v>
      </c>
      <c r="E162" s="11">
        <v>15</v>
      </c>
      <c r="F162" s="3" t="s">
        <v>105</v>
      </c>
      <c r="G162" s="3" t="s">
        <v>249</v>
      </c>
      <c r="H162" s="5">
        <v>82.879199999999997</v>
      </c>
      <c r="I162" s="5">
        <f t="shared" si="2"/>
        <v>1243.1879999999999</v>
      </c>
      <c r="J162" s="3" t="s">
        <v>20</v>
      </c>
      <c r="K162" s="3" t="s">
        <v>36</v>
      </c>
      <c r="L162" s="4">
        <v>45474</v>
      </c>
      <c r="M162" s="3" t="s">
        <v>20</v>
      </c>
      <c r="N162" s="3" t="s">
        <v>13</v>
      </c>
    </row>
    <row r="163" spans="1:14" ht="75">
      <c r="A163" s="3">
        <v>162</v>
      </c>
      <c r="B163" s="3" t="s">
        <v>91</v>
      </c>
      <c r="C163" s="3" t="s">
        <v>34</v>
      </c>
      <c r="D163" s="3" t="s">
        <v>35</v>
      </c>
      <c r="E163" s="11">
        <v>110</v>
      </c>
      <c r="F163" s="3" t="s">
        <v>52</v>
      </c>
      <c r="G163" s="3" t="s">
        <v>249</v>
      </c>
      <c r="H163" s="5">
        <v>11.232000000000001</v>
      </c>
      <c r="I163" s="5">
        <f t="shared" si="2"/>
        <v>1235.5200000000002</v>
      </c>
      <c r="J163" s="3" t="s">
        <v>20</v>
      </c>
      <c r="K163" s="3" t="s">
        <v>36</v>
      </c>
      <c r="L163" s="4">
        <v>45474</v>
      </c>
      <c r="M163" s="3" t="s">
        <v>20</v>
      </c>
      <c r="N163" s="3" t="s">
        <v>13</v>
      </c>
    </row>
    <row r="164" spans="1:14" ht="75">
      <c r="A164" s="3">
        <v>163</v>
      </c>
      <c r="B164" s="3" t="s">
        <v>296</v>
      </c>
      <c r="C164" s="3" t="s">
        <v>34</v>
      </c>
      <c r="D164" s="3" t="s">
        <v>35</v>
      </c>
      <c r="E164" s="11">
        <v>65</v>
      </c>
      <c r="F164" s="3" t="s">
        <v>33</v>
      </c>
      <c r="G164" s="3" t="s">
        <v>249</v>
      </c>
      <c r="H164" s="5">
        <v>12.96</v>
      </c>
      <c r="I164" s="5">
        <f t="shared" si="2"/>
        <v>842.40000000000009</v>
      </c>
      <c r="J164" s="3" t="s">
        <v>20</v>
      </c>
      <c r="K164" s="3" t="s">
        <v>36</v>
      </c>
      <c r="L164" s="4">
        <v>45474</v>
      </c>
      <c r="M164" s="3" t="s">
        <v>20</v>
      </c>
      <c r="N164" s="3" t="s">
        <v>13</v>
      </c>
    </row>
    <row r="165" spans="1:14" ht="75">
      <c r="A165" s="3">
        <v>164</v>
      </c>
      <c r="B165" s="3" t="s">
        <v>104</v>
      </c>
      <c r="C165" s="3" t="s">
        <v>34</v>
      </c>
      <c r="D165" s="3" t="s">
        <v>35</v>
      </c>
      <c r="E165" s="11">
        <v>18</v>
      </c>
      <c r="F165" s="3" t="s">
        <v>60</v>
      </c>
      <c r="G165" s="3" t="s">
        <v>249</v>
      </c>
      <c r="H165" s="5">
        <v>20.422800000000002</v>
      </c>
      <c r="I165" s="5">
        <f t="shared" si="2"/>
        <v>367.61040000000003</v>
      </c>
      <c r="J165" s="3" t="s">
        <v>20</v>
      </c>
      <c r="K165" s="3" t="s">
        <v>36</v>
      </c>
      <c r="L165" s="4">
        <v>45474</v>
      </c>
      <c r="M165" s="3" t="s">
        <v>20</v>
      </c>
      <c r="N165" s="3" t="s">
        <v>13</v>
      </c>
    </row>
    <row r="166" spans="1:14" ht="75">
      <c r="A166" s="3">
        <v>165</v>
      </c>
      <c r="B166" s="3" t="s">
        <v>108</v>
      </c>
      <c r="C166" s="3" t="s">
        <v>34</v>
      </c>
      <c r="D166" s="3" t="s">
        <v>35</v>
      </c>
      <c r="E166" s="11">
        <v>12</v>
      </c>
      <c r="F166" s="3" t="s">
        <v>105</v>
      </c>
      <c r="G166" s="3" t="s">
        <v>249</v>
      </c>
      <c r="H166" s="5">
        <v>29.7972</v>
      </c>
      <c r="I166" s="5">
        <f t="shared" si="2"/>
        <v>357.56639999999999</v>
      </c>
      <c r="J166" s="3" t="s">
        <v>20</v>
      </c>
      <c r="K166" s="3" t="s">
        <v>36</v>
      </c>
      <c r="L166" s="4">
        <v>45474</v>
      </c>
      <c r="M166" s="3" t="s">
        <v>20</v>
      </c>
      <c r="N166" s="3" t="s">
        <v>13</v>
      </c>
    </row>
    <row r="167" spans="1:14" ht="75">
      <c r="A167" s="3">
        <v>166</v>
      </c>
      <c r="B167" s="3" t="s">
        <v>85</v>
      </c>
      <c r="C167" s="3" t="s">
        <v>34</v>
      </c>
      <c r="D167" s="3" t="s">
        <v>35</v>
      </c>
      <c r="E167" s="11">
        <v>60</v>
      </c>
      <c r="F167" s="3" t="s">
        <v>33</v>
      </c>
      <c r="G167" s="3" t="s">
        <v>249</v>
      </c>
      <c r="H167" s="5">
        <v>5.508</v>
      </c>
      <c r="I167" s="5">
        <f t="shared" si="2"/>
        <v>330.48</v>
      </c>
      <c r="J167" s="3" t="s">
        <v>20</v>
      </c>
      <c r="K167" s="3" t="s">
        <v>36</v>
      </c>
      <c r="L167" s="4">
        <v>45474</v>
      </c>
      <c r="M167" s="3" t="s">
        <v>20</v>
      </c>
      <c r="N167" s="3" t="s">
        <v>13</v>
      </c>
    </row>
    <row r="168" spans="1:14" ht="75">
      <c r="A168" s="3">
        <v>167</v>
      </c>
      <c r="B168" s="3" t="s">
        <v>63</v>
      </c>
      <c r="C168" s="3" t="s">
        <v>34</v>
      </c>
      <c r="D168" s="3" t="s">
        <v>35</v>
      </c>
      <c r="E168" s="11">
        <v>11</v>
      </c>
      <c r="F168" s="3" t="s">
        <v>33</v>
      </c>
      <c r="G168" s="3" t="s">
        <v>249</v>
      </c>
      <c r="H168" s="5">
        <v>22.68</v>
      </c>
      <c r="I168" s="5">
        <f t="shared" si="2"/>
        <v>249.48</v>
      </c>
      <c r="J168" s="3" t="s">
        <v>20</v>
      </c>
      <c r="K168" s="3" t="s">
        <v>169</v>
      </c>
      <c r="L168" s="4">
        <v>45383</v>
      </c>
      <c r="M168" s="3" t="s">
        <v>20</v>
      </c>
      <c r="N168" s="3" t="s">
        <v>13</v>
      </c>
    </row>
    <row r="169" spans="1:14" ht="75">
      <c r="A169" s="3">
        <v>168</v>
      </c>
      <c r="B169" s="3" t="s">
        <v>46</v>
      </c>
      <c r="C169" s="3" t="s">
        <v>34</v>
      </c>
      <c r="D169" s="3" t="s">
        <v>35</v>
      </c>
      <c r="E169" s="11">
        <v>25</v>
      </c>
      <c r="F169" s="3" t="s">
        <v>58</v>
      </c>
      <c r="G169" s="3" t="s">
        <v>249</v>
      </c>
      <c r="H169" s="5">
        <v>9.395999999999999</v>
      </c>
      <c r="I169" s="5">
        <f t="shared" si="2"/>
        <v>234.89999999999998</v>
      </c>
      <c r="J169" s="3" t="s">
        <v>20</v>
      </c>
      <c r="K169" s="3" t="s">
        <v>36</v>
      </c>
      <c r="L169" s="4">
        <v>45474</v>
      </c>
      <c r="M169" s="3" t="s">
        <v>20</v>
      </c>
      <c r="N169" s="3" t="s">
        <v>13</v>
      </c>
    </row>
    <row r="170" spans="1:14" ht="75">
      <c r="A170" s="3">
        <v>169</v>
      </c>
      <c r="B170" s="3" t="s">
        <v>282</v>
      </c>
      <c r="C170" s="3" t="s">
        <v>34</v>
      </c>
      <c r="D170" s="3" t="s">
        <v>35</v>
      </c>
      <c r="E170" s="11">
        <v>5</v>
      </c>
      <c r="F170" s="3" t="s">
        <v>60</v>
      </c>
      <c r="G170" s="3" t="s">
        <v>249</v>
      </c>
      <c r="H170" s="5">
        <v>43.988399999999999</v>
      </c>
      <c r="I170" s="5">
        <f t="shared" si="2"/>
        <v>219.94200000000001</v>
      </c>
      <c r="J170" s="3" t="s">
        <v>20</v>
      </c>
      <c r="K170" s="3" t="s">
        <v>36</v>
      </c>
      <c r="L170" s="4">
        <v>45474</v>
      </c>
      <c r="M170" s="3" t="s">
        <v>20</v>
      </c>
      <c r="N170" s="3" t="s">
        <v>13</v>
      </c>
    </row>
    <row r="171" spans="1:14" ht="75">
      <c r="A171" s="3">
        <v>170</v>
      </c>
      <c r="B171" s="3" t="s">
        <v>283</v>
      </c>
      <c r="C171" s="3" t="s">
        <v>34</v>
      </c>
      <c r="D171" s="3" t="s">
        <v>35</v>
      </c>
      <c r="E171" s="11">
        <v>32</v>
      </c>
      <c r="F171" s="3" t="s">
        <v>33</v>
      </c>
      <c r="G171" s="3" t="s">
        <v>249</v>
      </c>
      <c r="H171" s="5">
        <v>6.8040000000000003</v>
      </c>
      <c r="I171" s="5">
        <f t="shared" si="2"/>
        <v>217.72800000000001</v>
      </c>
      <c r="J171" s="3" t="s">
        <v>20</v>
      </c>
      <c r="K171" s="3" t="s">
        <v>36</v>
      </c>
      <c r="L171" s="4">
        <v>45474</v>
      </c>
      <c r="M171" s="3" t="s">
        <v>20</v>
      </c>
      <c r="N171" s="3" t="s">
        <v>13</v>
      </c>
    </row>
    <row r="172" spans="1:14" ht="75">
      <c r="A172" s="3">
        <v>171</v>
      </c>
      <c r="B172" s="3" t="s">
        <v>107</v>
      </c>
      <c r="C172" s="3" t="s">
        <v>34</v>
      </c>
      <c r="D172" s="3" t="s">
        <v>35</v>
      </c>
      <c r="E172" s="11">
        <v>10</v>
      </c>
      <c r="F172" s="3" t="s">
        <v>105</v>
      </c>
      <c r="G172" s="3" t="s">
        <v>249</v>
      </c>
      <c r="H172" s="5">
        <v>20.023199999999999</v>
      </c>
      <c r="I172" s="5">
        <f t="shared" si="2"/>
        <v>200.232</v>
      </c>
      <c r="J172" s="3" t="s">
        <v>20</v>
      </c>
      <c r="K172" s="3" t="s">
        <v>36</v>
      </c>
      <c r="L172" s="4">
        <v>45474</v>
      </c>
      <c r="M172" s="3" t="s">
        <v>20</v>
      </c>
      <c r="N172" s="3" t="s">
        <v>13</v>
      </c>
    </row>
    <row r="173" spans="1:14" ht="75">
      <c r="A173" s="3">
        <v>172</v>
      </c>
      <c r="B173" s="3" t="s">
        <v>82</v>
      </c>
      <c r="C173" s="3" t="s">
        <v>34</v>
      </c>
      <c r="D173" s="3" t="s">
        <v>35</v>
      </c>
      <c r="E173" s="11">
        <v>45</v>
      </c>
      <c r="F173" s="3" t="s">
        <v>81</v>
      </c>
      <c r="G173" s="3" t="s">
        <v>249</v>
      </c>
      <c r="H173" s="5">
        <v>4.32</v>
      </c>
      <c r="I173" s="5">
        <f t="shared" si="2"/>
        <v>194.4</v>
      </c>
      <c r="J173" s="3" t="s">
        <v>20</v>
      </c>
      <c r="K173" s="3" t="s">
        <v>36</v>
      </c>
      <c r="L173" s="4">
        <v>45474</v>
      </c>
      <c r="M173" s="3" t="s">
        <v>20</v>
      </c>
      <c r="N173" s="3" t="s">
        <v>13</v>
      </c>
    </row>
    <row r="174" spans="1:14" ht="75">
      <c r="A174" s="3">
        <v>173</v>
      </c>
      <c r="B174" s="3" t="s">
        <v>83</v>
      </c>
      <c r="C174" s="3" t="s">
        <v>34</v>
      </c>
      <c r="D174" s="3" t="s">
        <v>35</v>
      </c>
      <c r="E174" s="11">
        <v>45</v>
      </c>
      <c r="F174" s="3" t="s">
        <v>81</v>
      </c>
      <c r="G174" s="3" t="s">
        <v>249</v>
      </c>
      <c r="H174" s="5">
        <v>4.32</v>
      </c>
      <c r="I174" s="5">
        <f t="shared" si="2"/>
        <v>194.4</v>
      </c>
      <c r="J174" s="3" t="s">
        <v>20</v>
      </c>
      <c r="K174" s="3" t="s">
        <v>36</v>
      </c>
      <c r="L174" s="4">
        <v>45474</v>
      </c>
      <c r="M174" s="3" t="s">
        <v>20</v>
      </c>
      <c r="N174" s="3" t="s">
        <v>13</v>
      </c>
    </row>
    <row r="175" spans="1:14" ht="75">
      <c r="A175" s="3">
        <v>174</v>
      </c>
      <c r="B175" s="3" t="s">
        <v>42</v>
      </c>
      <c r="C175" s="3" t="s">
        <v>34</v>
      </c>
      <c r="D175" s="3" t="s">
        <v>35</v>
      </c>
      <c r="E175" s="11">
        <v>21</v>
      </c>
      <c r="F175" s="3" t="s">
        <v>60</v>
      </c>
      <c r="G175" s="3" t="s">
        <v>249</v>
      </c>
      <c r="H175" s="5">
        <v>8.5860000000000003</v>
      </c>
      <c r="I175" s="5">
        <f t="shared" si="2"/>
        <v>180.30600000000001</v>
      </c>
      <c r="J175" s="3" t="s">
        <v>20</v>
      </c>
      <c r="K175" s="3" t="s">
        <v>36</v>
      </c>
      <c r="L175" s="4">
        <v>45474</v>
      </c>
      <c r="M175" s="3" t="s">
        <v>20</v>
      </c>
      <c r="N175" s="3" t="s">
        <v>13</v>
      </c>
    </row>
    <row r="176" spans="1:14" ht="75">
      <c r="A176" s="3">
        <v>175</v>
      </c>
      <c r="B176" s="3" t="s">
        <v>96</v>
      </c>
      <c r="C176" s="3" t="s">
        <v>34</v>
      </c>
      <c r="D176" s="3" t="s">
        <v>35</v>
      </c>
      <c r="E176" s="11">
        <v>69</v>
      </c>
      <c r="F176" s="3" t="s">
        <v>33</v>
      </c>
      <c r="G176" s="3" t="s">
        <v>249</v>
      </c>
      <c r="H176" s="5">
        <v>2.4192000000000005</v>
      </c>
      <c r="I176" s="5">
        <f t="shared" si="2"/>
        <v>166.92480000000003</v>
      </c>
      <c r="J176" s="3" t="s">
        <v>20</v>
      </c>
      <c r="K176" s="3" t="s">
        <v>36</v>
      </c>
      <c r="L176" s="4">
        <v>45474</v>
      </c>
      <c r="M176" s="3" t="s">
        <v>20</v>
      </c>
      <c r="N176" s="3" t="s">
        <v>13</v>
      </c>
    </row>
    <row r="177" spans="1:14" ht="75">
      <c r="A177" s="3">
        <v>176</v>
      </c>
      <c r="B177" s="3" t="s">
        <v>284</v>
      </c>
      <c r="C177" s="3" t="s">
        <v>34</v>
      </c>
      <c r="D177" s="3" t="s">
        <v>35</v>
      </c>
      <c r="E177" s="11">
        <v>72</v>
      </c>
      <c r="F177" s="3" t="s">
        <v>59</v>
      </c>
      <c r="G177" s="3" t="s">
        <v>249</v>
      </c>
      <c r="H177" s="5">
        <v>1.8144</v>
      </c>
      <c r="I177" s="5">
        <f t="shared" si="2"/>
        <v>130.63679999999999</v>
      </c>
      <c r="J177" s="3" t="s">
        <v>20</v>
      </c>
      <c r="K177" s="3" t="s">
        <v>36</v>
      </c>
      <c r="L177" s="4">
        <v>45474</v>
      </c>
      <c r="M177" s="3" t="s">
        <v>20</v>
      </c>
      <c r="N177" s="3" t="s">
        <v>13</v>
      </c>
    </row>
    <row r="178" spans="1:14" ht="75">
      <c r="A178" s="3">
        <v>177</v>
      </c>
      <c r="B178" s="3" t="s">
        <v>43</v>
      </c>
      <c r="C178" s="3" t="s">
        <v>34</v>
      </c>
      <c r="D178" s="3" t="s">
        <v>35</v>
      </c>
      <c r="E178" s="11">
        <v>54</v>
      </c>
      <c r="F178" s="3" t="s">
        <v>58</v>
      </c>
      <c r="G178" s="3" t="s">
        <v>249</v>
      </c>
      <c r="H178" s="5">
        <v>2.2248000000000001</v>
      </c>
      <c r="I178" s="5">
        <f t="shared" si="2"/>
        <v>120.1392</v>
      </c>
      <c r="J178" s="3" t="s">
        <v>20</v>
      </c>
      <c r="K178" s="3" t="s">
        <v>36</v>
      </c>
      <c r="L178" s="4">
        <v>45474</v>
      </c>
      <c r="M178" s="3" t="s">
        <v>20</v>
      </c>
      <c r="N178" s="3" t="s">
        <v>13</v>
      </c>
    </row>
    <row r="179" spans="1:14" ht="75">
      <c r="A179" s="3">
        <v>178</v>
      </c>
      <c r="B179" s="3" t="s">
        <v>92</v>
      </c>
      <c r="C179" s="3" t="s">
        <v>34</v>
      </c>
      <c r="D179" s="3" t="s">
        <v>35</v>
      </c>
      <c r="E179" s="11">
        <v>10</v>
      </c>
      <c r="F179" s="3" t="s">
        <v>52</v>
      </c>
      <c r="G179" s="3" t="s">
        <v>249</v>
      </c>
      <c r="H179" s="5">
        <v>11.83</v>
      </c>
      <c r="I179" s="5">
        <f t="shared" si="2"/>
        <v>118.3</v>
      </c>
      <c r="J179" s="3" t="s">
        <v>20</v>
      </c>
      <c r="K179" s="3" t="s">
        <v>36</v>
      </c>
      <c r="L179" s="4">
        <v>45474</v>
      </c>
      <c r="M179" s="3" t="s">
        <v>20</v>
      </c>
      <c r="N179" s="3" t="s">
        <v>13</v>
      </c>
    </row>
    <row r="180" spans="1:14" ht="75">
      <c r="A180" s="3">
        <v>179</v>
      </c>
      <c r="B180" s="3" t="s">
        <v>86</v>
      </c>
      <c r="C180" s="3" t="s">
        <v>34</v>
      </c>
      <c r="D180" s="3" t="s">
        <v>35</v>
      </c>
      <c r="E180" s="11">
        <v>30</v>
      </c>
      <c r="F180" s="3" t="s">
        <v>33</v>
      </c>
      <c r="G180" s="3" t="s">
        <v>249</v>
      </c>
      <c r="H180" s="5">
        <v>3.7800000000000002</v>
      </c>
      <c r="I180" s="5">
        <f t="shared" si="2"/>
        <v>113.4</v>
      </c>
      <c r="J180" s="3" t="s">
        <v>20</v>
      </c>
      <c r="K180" s="3" t="s">
        <v>36</v>
      </c>
      <c r="L180" s="4">
        <v>45474</v>
      </c>
      <c r="M180" s="3" t="s">
        <v>20</v>
      </c>
      <c r="N180" s="3" t="s">
        <v>13</v>
      </c>
    </row>
    <row r="181" spans="1:14" ht="75">
      <c r="A181" s="3">
        <v>180</v>
      </c>
      <c r="B181" s="3" t="s">
        <v>110</v>
      </c>
      <c r="C181" s="3" t="s">
        <v>34</v>
      </c>
      <c r="D181" s="3" t="s">
        <v>35</v>
      </c>
      <c r="E181" s="11">
        <v>12</v>
      </c>
      <c r="F181" s="3" t="s">
        <v>33</v>
      </c>
      <c r="G181" s="3" t="s">
        <v>249</v>
      </c>
      <c r="H181" s="5">
        <v>9.3420000000000005</v>
      </c>
      <c r="I181" s="5">
        <f t="shared" si="2"/>
        <v>112.10400000000001</v>
      </c>
      <c r="J181" s="3" t="s">
        <v>20</v>
      </c>
      <c r="K181" s="3" t="s">
        <v>36</v>
      </c>
      <c r="L181" s="4">
        <v>45474</v>
      </c>
      <c r="M181" s="3" t="s">
        <v>20</v>
      </c>
      <c r="N181" s="3" t="s">
        <v>13</v>
      </c>
    </row>
    <row r="182" spans="1:14" ht="75">
      <c r="A182" s="3">
        <v>181</v>
      </c>
      <c r="B182" s="3" t="s">
        <v>285</v>
      </c>
      <c r="C182" s="3" t="s">
        <v>34</v>
      </c>
      <c r="D182" s="3" t="s">
        <v>35</v>
      </c>
      <c r="E182" s="11">
        <v>6</v>
      </c>
      <c r="F182" s="3" t="s">
        <v>33</v>
      </c>
      <c r="G182" s="3" t="s">
        <v>249</v>
      </c>
      <c r="H182" s="5">
        <v>15.875999999999999</v>
      </c>
      <c r="I182" s="5">
        <f t="shared" si="2"/>
        <v>95.256</v>
      </c>
      <c r="J182" s="3" t="s">
        <v>20</v>
      </c>
      <c r="K182" s="3" t="s">
        <v>36</v>
      </c>
      <c r="L182" s="4">
        <v>45474</v>
      </c>
      <c r="M182" s="3" t="s">
        <v>20</v>
      </c>
      <c r="N182" s="3" t="s">
        <v>13</v>
      </c>
    </row>
    <row r="183" spans="1:14" ht="75">
      <c r="A183" s="3">
        <v>182</v>
      </c>
      <c r="B183" s="3" t="s">
        <v>286</v>
      </c>
      <c r="C183" s="3" t="s">
        <v>34</v>
      </c>
      <c r="D183" s="3" t="s">
        <v>35</v>
      </c>
      <c r="E183" s="11">
        <v>5</v>
      </c>
      <c r="F183" s="3" t="s">
        <v>60</v>
      </c>
      <c r="G183" s="3" t="s">
        <v>249</v>
      </c>
      <c r="H183" s="5">
        <v>16.632000000000001</v>
      </c>
      <c r="I183" s="5">
        <f t="shared" si="2"/>
        <v>83.160000000000011</v>
      </c>
      <c r="J183" s="3" t="s">
        <v>20</v>
      </c>
      <c r="K183" s="3" t="s">
        <v>36</v>
      </c>
      <c r="L183" s="4">
        <v>45474</v>
      </c>
      <c r="M183" s="3" t="s">
        <v>20</v>
      </c>
      <c r="N183" s="3" t="s">
        <v>13</v>
      </c>
    </row>
    <row r="184" spans="1:14" ht="75">
      <c r="A184" s="3">
        <v>183</v>
      </c>
      <c r="B184" s="3" t="s">
        <v>287</v>
      </c>
      <c r="C184" s="3" t="s">
        <v>34</v>
      </c>
      <c r="D184" s="3" t="s">
        <v>35</v>
      </c>
      <c r="E184" s="11">
        <v>15</v>
      </c>
      <c r="F184" s="3" t="s">
        <v>33</v>
      </c>
      <c r="G184" s="3" t="s">
        <v>249</v>
      </c>
      <c r="H184" s="5">
        <v>5.2379999999999995</v>
      </c>
      <c r="I184" s="5">
        <f t="shared" si="2"/>
        <v>78.569999999999993</v>
      </c>
      <c r="J184" s="3" t="s">
        <v>20</v>
      </c>
      <c r="K184" s="3" t="s">
        <v>36</v>
      </c>
      <c r="L184" s="4">
        <v>45474</v>
      </c>
      <c r="M184" s="3" t="s">
        <v>20</v>
      </c>
      <c r="N184" s="3" t="s">
        <v>13</v>
      </c>
    </row>
    <row r="185" spans="1:14" ht="75">
      <c r="A185" s="3">
        <v>184</v>
      </c>
      <c r="B185" s="3" t="s">
        <v>288</v>
      </c>
      <c r="C185" s="3" t="s">
        <v>34</v>
      </c>
      <c r="D185" s="3" t="s">
        <v>35</v>
      </c>
      <c r="E185" s="11">
        <v>23</v>
      </c>
      <c r="F185" s="3" t="s">
        <v>33</v>
      </c>
      <c r="G185" s="3" t="s">
        <v>249</v>
      </c>
      <c r="H185" s="5">
        <v>3.3264000000000005</v>
      </c>
      <c r="I185" s="5">
        <f t="shared" si="2"/>
        <v>76.507200000000012</v>
      </c>
      <c r="J185" s="3" t="s">
        <v>20</v>
      </c>
      <c r="K185" s="3" t="s">
        <v>36</v>
      </c>
      <c r="L185" s="4">
        <v>45474</v>
      </c>
      <c r="M185" s="3" t="s">
        <v>20</v>
      </c>
      <c r="N185" s="3" t="s">
        <v>13</v>
      </c>
    </row>
    <row r="186" spans="1:14" ht="75">
      <c r="A186" s="3">
        <v>185</v>
      </c>
      <c r="B186" s="3" t="s">
        <v>103</v>
      </c>
      <c r="C186" s="3" t="s">
        <v>34</v>
      </c>
      <c r="D186" s="3" t="s">
        <v>35</v>
      </c>
      <c r="E186" s="11">
        <v>10</v>
      </c>
      <c r="F186" s="3" t="s">
        <v>33</v>
      </c>
      <c r="G186" s="3" t="s">
        <v>249</v>
      </c>
      <c r="H186" s="5">
        <v>6.7284000000000006</v>
      </c>
      <c r="I186" s="5">
        <f t="shared" si="2"/>
        <v>67.284000000000006</v>
      </c>
      <c r="J186" s="3" t="s">
        <v>20</v>
      </c>
      <c r="K186" s="3" t="s">
        <v>36</v>
      </c>
      <c r="L186" s="4">
        <v>45474</v>
      </c>
      <c r="M186" s="3" t="s">
        <v>20</v>
      </c>
      <c r="N186" s="3" t="s">
        <v>13</v>
      </c>
    </row>
    <row r="187" spans="1:14" ht="75">
      <c r="A187" s="3">
        <v>186</v>
      </c>
      <c r="B187" s="3" t="s">
        <v>289</v>
      </c>
      <c r="C187" s="3" t="s">
        <v>34</v>
      </c>
      <c r="D187" s="3" t="s">
        <v>35</v>
      </c>
      <c r="E187" s="11">
        <v>25</v>
      </c>
      <c r="F187" s="3" t="s">
        <v>59</v>
      </c>
      <c r="G187" s="3" t="s">
        <v>249</v>
      </c>
      <c r="H187" s="5">
        <v>2.4948000000000001</v>
      </c>
      <c r="I187" s="5">
        <f t="shared" si="2"/>
        <v>62.370000000000005</v>
      </c>
      <c r="J187" s="3" t="s">
        <v>20</v>
      </c>
      <c r="K187" s="3" t="s">
        <v>36</v>
      </c>
      <c r="L187" s="4">
        <v>45474</v>
      </c>
      <c r="M187" s="3" t="s">
        <v>20</v>
      </c>
      <c r="N187" s="3" t="s">
        <v>13</v>
      </c>
    </row>
    <row r="188" spans="1:14" ht="75">
      <c r="A188" s="3">
        <v>187</v>
      </c>
      <c r="B188" s="3" t="s">
        <v>290</v>
      </c>
      <c r="C188" s="3" t="s">
        <v>34</v>
      </c>
      <c r="D188" s="3" t="s">
        <v>35</v>
      </c>
      <c r="E188" s="11">
        <v>24</v>
      </c>
      <c r="F188" s="3" t="s">
        <v>59</v>
      </c>
      <c r="G188" s="3" t="s">
        <v>249</v>
      </c>
      <c r="H188" s="5">
        <v>2.5920000000000001</v>
      </c>
      <c r="I188" s="5">
        <f t="shared" si="2"/>
        <v>62.207999999999998</v>
      </c>
      <c r="J188" s="3" t="s">
        <v>20</v>
      </c>
      <c r="K188" s="3" t="s">
        <v>36</v>
      </c>
      <c r="L188" s="4">
        <v>45474</v>
      </c>
      <c r="M188" s="3" t="s">
        <v>20</v>
      </c>
      <c r="N188" s="3" t="s">
        <v>13</v>
      </c>
    </row>
    <row r="189" spans="1:14" ht="75">
      <c r="A189" s="3">
        <v>188</v>
      </c>
      <c r="B189" s="3" t="s">
        <v>111</v>
      </c>
      <c r="C189" s="3" t="s">
        <v>34</v>
      </c>
      <c r="D189" s="3" t="s">
        <v>35</v>
      </c>
      <c r="E189" s="11">
        <v>2</v>
      </c>
      <c r="F189" s="3" t="s">
        <v>33</v>
      </c>
      <c r="G189" s="3" t="s">
        <v>249</v>
      </c>
      <c r="H189" s="5">
        <v>28.015200000000004</v>
      </c>
      <c r="I189" s="5">
        <f t="shared" si="2"/>
        <v>56.030400000000007</v>
      </c>
      <c r="J189" s="3" t="s">
        <v>20</v>
      </c>
      <c r="K189" s="3" t="s">
        <v>36</v>
      </c>
      <c r="L189" s="4">
        <v>45474</v>
      </c>
      <c r="M189" s="3" t="s">
        <v>20</v>
      </c>
      <c r="N189" s="3" t="s">
        <v>13</v>
      </c>
    </row>
    <row r="190" spans="1:14" ht="75">
      <c r="A190" s="3">
        <v>189</v>
      </c>
      <c r="B190" s="3" t="s">
        <v>65</v>
      </c>
      <c r="C190" s="3" t="s">
        <v>34</v>
      </c>
      <c r="D190" s="3" t="s">
        <v>35</v>
      </c>
      <c r="E190" s="11">
        <v>72</v>
      </c>
      <c r="F190" s="3" t="s">
        <v>33</v>
      </c>
      <c r="G190" s="3" t="s">
        <v>249</v>
      </c>
      <c r="H190" s="5">
        <v>0.75600000000000001</v>
      </c>
      <c r="I190" s="5">
        <f t="shared" si="2"/>
        <v>54.432000000000002</v>
      </c>
      <c r="J190" s="3" t="s">
        <v>20</v>
      </c>
      <c r="K190" s="3" t="s">
        <v>36</v>
      </c>
      <c r="L190" s="4">
        <v>45474</v>
      </c>
      <c r="M190" s="3" t="s">
        <v>20</v>
      </c>
      <c r="N190" s="3" t="s">
        <v>13</v>
      </c>
    </row>
    <row r="191" spans="1:14" ht="75">
      <c r="A191" s="3">
        <v>190</v>
      </c>
      <c r="B191" s="3" t="s">
        <v>64</v>
      </c>
      <c r="C191" s="3" t="s">
        <v>34</v>
      </c>
      <c r="D191" s="3" t="s">
        <v>35</v>
      </c>
      <c r="E191" s="11">
        <v>19</v>
      </c>
      <c r="F191" s="3" t="s">
        <v>52</v>
      </c>
      <c r="G191" s="3" t="s">
        <v>249</v>
      </c>
      <c r="H191" s="5">
        <v>2.484</v>
      </c>
      <c r="I191" s="5">
        <f t="shared" si="2"/>
        <v>47.195999999999998</v>
      </c>
      <c r="J191" s="3" t="s">
        <v>20</v>
      </c>
      <c r="K191" s="3" t="s">
        <v>36</v>
      </c>
      <c r="L191" s="4">
        <v>45474</v>
      </c>
      <c r="M191" s="3" t="s">
        <v>20</v>
      </c>
      <c r="N191" s="3" t="s">
        <v>13</v>
      </c>
    </row>
    <row r="192" spans="1:14" ht="75">
      <c r="A192" s="3">
        <v>191</v>
      </c>
      <c r="B192" s="3" t="s">
        <v>291</v>
      </c>
      <c r="C192" s="3" t="s">
        <v>34</v>
      </c>
      <c r="D192" s="3" t="s">
        <v>35</v>
      </c>
      <c r="E192" s="11">
        <v>25</v>
      </c>
      <c r="F192" s="3" t="s">
        <v>33</v>
      </c>
      <c r="G192" s="3" t="s">
        <v>249</v>
      </c>
      <c r="H192" s="5">
        <v>1.782</v>
      </c>
      <c r="I192" s="5">
        <f t="shared" si="2"/>
        <v>44.55</v>
      </c>
      <c r="J192" s="3" t="s">
        <v>20</v>
      </c>
      <c r="K192" s="3" t="s">
        <v>36</v>
      </c>
      <c r="L192" s="4">
        <v>45474</v>
      </c>
      <c r="M192" s="3" t="s">
        <v>20</v>
      </c>
      <c r="N192" s="3" t="s">
        <v>13</v>
      </c>
    </row>
    <row r="193" spans="1:14" ht="75">
      <c r="A193" s="3">
        <v>192</v>
      </c>
      <c r="B193" s="3" t="s">
        <v>84</v>
      </c>
      <c r="C193" s="3" t="s">
        <v>34</v>
      </c>
      <c r="D193" s="3" t="s">
        <v>35</v>
      </c>
      <c r="E193" s="11">
        <v>3</v>
      </c>
      <c r="F193" s="3" t="s">
        <v>33</v>
      </c>
      <c r="G193" s="3" t="s">
        <v>249</v>
      </c>
      <c r="H193" s="5">
        <v>7.4736000000000002</v>
      </c>
      <c r="I193" s="5">
        <f t="shared" si="2"/>
        <v>22.4208</v>
      </c>
      <c r="J193" s="3" t="s">
        <v>20</v>
      </c>
      <c r="K193" s="3" t="s">
        <v>36</v>
      </c>
      <c r="L193" s="4">
        <v>45474</v>
      </c>
      <c r="M193" s="3" t="s">
        <v>20</v>
      </c>
      <c r="N193" s="3" t="s">
        <v>13</v>
      </c>
    </row>
    <row r="194" spans="1:14" ht="75">
      <c r="A194" s="3">
        <v>193</v>
      </c>
      <c r="B194" s="3" t="s">
        <v>112</v>
      </c>
      <c r="C194" s="3" t="s">
        <v>34</v>
      </c>
      <c r="D194" s="3" t="s">
        <v>35</v>
      </c>
      <c r="E194" s="11">
        <v>6</v>
      </c>
      <c r="F194" s="3" t="s">
        <v>33</v>
      </c>
      <c r="G194" s="3" t="s">
        <v>249</v>
      </c>
      <c r="H194" s="5">
        <v>3.3588</v>
      </c>
      <c r="I194" s="5">
        <f t="shared" si="2"/>
        <v>20.152799999999999</v>
      </c>
      <c r="J194" s="3" t="s">
        <v>20</v>
      </c>
      <c r="K194" s="3" t="s">
        <v>36</v>
      </c>
      <c r="L194" s="4">
        <v>45474</v>
      </c>
      <c r="M194" s="3" t="s">
        <v>20</v>
      </c>
      <c r="N194" s="3" t="s">
        <v>13</v>
      </c>
    </row>
    <row r="195" spans="1:14" ht="75">
      <c r="A195" s="3">
        <v>194</v>
      </c>
      <c r="B195" s="3" t="s">
        <v>113</v>
      </c>
      <c r="C195" s="3" t="s">
        <v>34</v>
      </c>
      <c r="D195" s="3" t="s">
        <v>35</v>
      </c>
      <c r="E195" s="11">
        <v>6</v>
      </c>
      <c r="F195" s="3" t="s">
        <v>33</v>
      </c>
      <c r="G195" s="3" t="s">
        <v>249</v>
      </c>
      <c r="H195" s="5">
        <v>3.1752000000000002</v>
      </c>
      <c r="I195" s="5">
        <f t="shared" si="2"/>
        <v>19.051200000000001</v>
      </c>
      <c r="J195" s="3" t="s">
        <v>20</v>
      </c>
      <c r="K195" s="3" t="s">
        <v>36</v>
      </c>
      <c r="L195" s="4">
        <v>45474</v>
      </c>
      <c r="M195" s="3" t="s">
        <v>20</v>
      </c>
      <c r="N195" s="3" t="s">
        <v>13</v>
      </c>
    </row>
    <row r="196" spans="1:14" ht="75">
      <c r="A196" s="3">
        <v>195</v>
      </c>
      <c r="B196" s="3" t="s">
        <v>62</v>
      </c>
      <c r="C196" s="3" t="s">
        <v>34</v>
      </c>
      <c r="D196" s="3" t="s">
        <v>35</v>
      </c>
      <c r="E196" s="11">
        <v>6</v>
      </c>
      <c r="F196" s="3" t="s">
        <v>33</v>
      </c>
      <c r="G196" s="3" t="s">
        <v>249</v>
      </c>
      <c r="H196" s="5">
        <v>2.2680000000000002</v>
      </c>
      <c r="I196" s="5">
        <f t="shared" si="2"/>
        <v>13.608000000000001</v>
      </c>
      <c r="J196" s="3" t="s">
        <v>20</v>
      </c>
      <c r="K196" s="3" t="s">
        <v>36</v>
      </c>
      <c r="L196" s="4">
        <v>45474</v>
      </c>
      <c r="M196" s="3" t="s">
        <v>20</v>
      </c>
      <c r="N196" s="3" t="s">
        <v>13</v>
      </c>
    </row>
    <row r="197" spans="1:14" ht="75">
      <c r="A197" s="3">
        <v>196</v>
      </c>
      <c r="B197" s="3" t="s">
        <v>87</v>
      </c>
      <c r="C197" s="3" t="s">
        <v>34</v>
      </c>
      <c r="D197" s="3" t="s">
        <v>35</v>
      </c>
      <c r="E197" s="11">
        <v>5</v>
      </c>
      <c r="F197" s="3" t="s">
        <v>52</v>
      </c>
      <c r="G197" s="3" t="s">
        <v>249</v>
      </c>
      <c r="H197" s="5">
        <v>2.7216</v>
      </c>
      <c r="I197" s="5">
        <f t="shared" si="2"/>
        <v>13.608000000000001</v>
      </c>
      <c r="J197" s="3" t="s">
        <v>20</v>
      </c>
      <c r="K197" s="3" t="s">
        <v>36</v>
      </c>
      <c r="L197" s="4">
        <v>45474</v>
      </c>
      <c r="M197" s="3" t="s">
        <v>20</v>
      </c>
      <c r="N197" s="3" t="s">
        <v>13</v>
      </c>
    </row>
  </sheetData>
  <pageMargins left="0.511811024" right="0.511811024" top="0.78740157499999996" bottom="0.78740157499999996" header="0.31496062000000002" footer="0.3149606200000000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06F8F-E69D-401C-BE46-16A9FECC24EE}">
  <dimension ref="A1:O196"/>
  <sheetViews>
    <sheetView workbookViewId="0">
      <selection activeCell="H4" sqref="H4"/>
    </sheetView>
  </sheetViews>
  <sheetFormatPr defaultRowHeight="15"/>
  <cols>
    <col min="2" max="3" width="36.5703125" bestFit="1" customWidth="1"/>
    <col min="4" max="4" width="25.28515625" bestFit="1" customWidth="1"/>
    <col min="9" max="9" width="30.42578125" bestFit="1" customWidth="1"/>
  </cols>
  <sheetData>
    <row r="1" spans="1:15">
      <c r="A1" s="242" t="s">
        <v>2484</v>
      </c>
      <c r="B1" s="242" t="s">
        <v>2485</v>
      </c>
      <c r="C1" s="242" t="s">
        <v>2485</v>
      </c>
      <c r="D1" s="242" t="s">
        <v>2486</v>
      </c>
      <c r="E1" s="242" t="s">
        <v>2487</v>
      </c>
      <c r="F1" s="242" t="s">
        <v>2488</v>
      </c>
      <c r="G1" s="242" t="s">
        <v>2489</v>
      </c>
      <c r="H1" s="241" t="s">
        <v>2490</v>
      </c>
      <c r="I1" s="241" t="s">
        <v>2491</v>
      </c>
      <c r="J1" s="242" t="s">
        <v>2492</v>
      </c>
      <c r="K1" s="242" t="s">
        <v>2493</v>
      </c>
      <c r="L1" s="242" t="s">
        <v>2494</v>
      </c>
      <c r="M1" s="245" t="s">
        <v>2495</v>
      </c>
      <c r="N1" s="243" t="s">
        <v>33</v>
      </c>
      <c r="O1" s="244" t="s">
        <v>2496</v>
      </c>
    </row>
    <row r="2" spans="1:15">
      <c r="A2" s="242"/>
      <c r="B2" s="242"/>
      <c r="C2" s="242"/>
      <c r="D2" s="242"/>
      <c r="E2" s="242"/>
      <c r="F2" s="242"/>
      <c r="G2" s="242"/>
      <c r="H2" s="241"/>
      <c r="I2" s="241"/>
      <c r="J2" s="242"/>
      <c r="K2" s="242"/>
      <c r="L2" s="242"/>
      <c r="M2" s="245"/>
      <c r="N2" s="243"/>
      <c r="O2" s="244"/>
    </row>
    <row r="3" spans="1:15">
      <c r="A3" s="176"/>
      <c r="B3" s="177" t="s">
        <v>2497</v>
      </c>
      <c r="C3" s="177" t="s">
        <v>2497</v>
      </c>
      <c r="D3" s="176"/>
      <c r="E3" s="176"/>
      <c r="F3" s="176"/>
      <c r="G3" s="176"/>
      <c r="H3" s="178"/>
      <c r="I3" s="178"/>
      <c r="J3" s="176"/>
      <c r="K3" s="176"/>
      <c r="L3" s="176"/>
      <c r="M3" s="187"/>
      <c r="N3" s="189"/>
      <c r="O3" s="184"/>
    </row>
    <row r="4" spans="1:15" ht="102">
      <c r="A4" s="173">
        <v>1</v>
      </c>
      <c r="B4" s="175" t="s">
        <v>2498</v>
      </c>
      <c r="C4" s="175" t="s">
        <v>2499</v>
      </c>
      <c r="D4" s="175" t="s">
        <v>2500</v>
      </c>
      <c r="E4" s="173" t="s">
        <v>25</v>
      </c>
      <c r="F4" s="173" t="s">
        <v>246</v>
      </c>
      <c r="G4" s="173" t="s">
        <v>2501</v>
      </c>
      <c r="H4" s="174"/>
      <c r="I4" s="174">
        <v>45446</v>
      </c>
      <c r="J4" s="173" t="s">
        <v>419</v>
      </c>
      <c r="K4" s="173" t="s">
        <v>36</v>
      </c>
      <c r="L4" s="173" t="s">
        <v>20</v>
      </c>
      <c r="M4" s="188">
        <v>16</v>
      </c>
      <c r="N4" s="179" t="s">
        <v>756</v>
      </c>
      <c r="O4" s="185">
        <v>3000</v>
      </c>
    </row>
    <row r="5" spans="1:15" ht="76.5">
      <c r="A5" s="173">
        <v>2</v>
      </c>
      <c r="B5" s="175" t="s">
        <v>2502</v>
      </c>
      <c r="C5" s="175" t="s">
        <v>2503</v>
      </c>
      <c r="D5" s="175" t="s">
        <v>2504</v>
      </c>
      <c r="E5" s="173" t="s">
        <v>25</v>
      </c>
      <c r="F5" s="173" t="s">
        <v>246</v>
      </c>
      <c r="G5" s="173" t="s">
        <v>2501</v>
      </c>
      <c r="H5" s="174"/>
      <c r="I5" s="174">
        <v>45327</v>
      </c>
      <c r="J5" s="173" t="s">
        <v>2505</v>
      </c>
      <c r="K5" s="173" t="s">
        <v>36</v>
      </c>
      <c r="L5" s="173" t="s">
        <v>20</v>
      </c>
      <c r="M5" s="188">
        <v>10</v>
      </c>
      <c r="N5" s="179" t="s">
        <v>756</v>
      </c>
      <c r="O5" s="185">
        <v>450</v>
      </c>
    </row>
    <row r="6" spans="1:15" ht="63.75">
      <c r="A6" s="173">
        <v>3</v>
      </c>
      <c r="B6" s="175" t="s">
        <v>2506</v>
      </c>
      <c r="C6" s="175" t="s">
        <v>2507</v>
      </c>
      <c r="D6" s="175" t="s">
        <v>2508</v>
      </c>
      <c r="E6" s="173" t="s">
        <v>25</v>
      </c>
      <c r="F6" s="173" t="s">
        <v>246</v>
      </c>
      <c r="G6" s="173" t="s">
        <v>2501</v>
      </c>
      <c r="H6" s="174"/>
      <c r="I6" s="174">
        <v>45355</v>
      </c>
      <c r="J6" s="173" t="s">
        <v>1360</v>
      </c>
      <c r="K6" s="173" t="s">
        <v>169</v>
      </c>
      <c r="L6" s="173" t="s">
        <v>20</v>
      </c>
      <c r="M6" s="188">
        <v>25</v>
      </c>
      <c r="N6" s="179" t="s">
        <v>756</v>
      </c>
      <c r="O6" s="185">
        <v>2500</v>
      </c>
    </row>
    <row r="7" spans="1:15" ht="102">
      <c r="A7" s="173">
        <v>4</v>
      </c>
      <c r="B7" s="175" t="s">
        <v>2509</v>
      </c>
      <c r="C7" s="175" t="s">
        <v>2510</v>
      </c>
      <c r="D7" s="175" t="s">
        <v>2511</v>
      </c>
      <c r="E7" s="173" t="s">
        <v>25</v>
      </c>
      <c r="F7" s="173" t="s">
        <v>17</v>
      </c>
      <c r="G7" s="173" t="s">
        <v>2501</v>
      </c>
      <c r="H7" s="174"/>
      <c r="I7" s="174">
        <v>45327</v>
      </c>
      <c r="J7" s="173" t="s">
        <v>1360</v>
      </c>
      <c r="K7" s="173" t="s">
        <v>169</v>
      </c>
      <c r="L7" s="173" t="s">
        <v>20</v>
      </c>
      <c r="M7" s="188">
        <v>25</v>
      </c>
      <c r="N7" s="179" t="s">
        <v>756</v>
      </c>
      <c r="O7" s="185">
        <v>2500</v>
      </c>
    </row>
    <row r="8" spans="1:15" ht="293.25">
      <c r="A8" s="173">
        <v>5</v>
      </c>
      <c r="B8" s="175" t="s">
        <v>2512</v>
      </c>
      <c r="C8" s="175" t="s">
        <v>2513</v>
      </c>
      <c r="D8" s="175" t="s">
        <v>2514</v>
      </c>
      <c r="E8" s="173" t="s">
        <v>25</v>
      </c>
      <c r="F8" s="173" t="s">
        <v>17</v>
      </c>
      <c r="G8" s="173" t="s">
        <v>2501</v>
      </c>
      <c r="H8" s="174"/>
      <c r="I8" s="174">
        <v>45306</v>
      </c>
      <c r="J8" s="173" t="s">
        <v>1360</v>
      </c>
      <c r="K8" s="173" t="s">
        <v>21</v>
      </c>
      <c r="L8" s="173" t="s">
        <v>20</v>
      </c>
      <c r="M8" s="188">
        <v>12</v>
      </c>
      <c r="N8" s="179" t="s">
        <v>2515</v>
      </c>
      <c r="O8" s="185">
        <v>12000</v>
      </c>
    </row>
    <row r="9" spans="1:15" ht="89.25">
      <c r="A9" s="173">
        <v>6</v>
      </c>
      <c r="B9" s="175" t="s">
        <v>2516</v>
      </c>
      <c r="C9" s="175" t="s">
        <v>2517</v>
      </c>
      <c r="D9" s="175" t="s">
        <v>2518</v>
      </c>
      <c r="E9" s="173" t="s">
        <v>25</v>
      </c>
      <c r="F9" s="173" t="s">
        <v>17</v>
      </c>
      <c r="G9" s="173" t="s">
        <v>2501</v>
      </c>
      <c r="H9" s="174"/>
      <c r="I9" s="174">
        <v>45306</v>
      </c>
      <c r="J9" s="173" t="s">
        <v>1360</v>
      </c>
      <c r="K9" s="173" t="s">
        <v>169</v>
      </c>
      <c r="L9" s="173" t="s">
        <v>20</v>
      </c>
      <c r="M9" s="188">
        <v>25</v>
      </c>
      <c r="N9" s="179" t="s">
        <v>756</v>
      </c>
      <c r="O9" s="185">
        <v>5000</v>
      </c>
    </row>
    <row r="10" spans="1:15">
      <c r="A10" s="176"/>
      <c r="B10" s="177" t="s">
        <v>2519</v>
      </c>
      <c r="C10" s="177"/>
      <c r="D10" s="176"/>
      <c r="E10" s="176"/>
      <c r="F10" s="176"/>
      <c r="G10" s="176"/>
      <c r="H10" s="178"/>
      <c r="I10" s="178"/>
      <c r="J10" s="176"/>
      <c r="K10" s="176"/>
      <c r="L10" s="176"/>
      <c r="M10" s="187"/>
      <c r="N10" s="189"/>
      <c r="O10" s="184"/>
    </row>
    <row r="11" spans="1:15" ht="76.5">
      <c r="A11" s="173">
        <v>7</v>
      </c>
      <c r="B11" s="173" t="s">
        <v>2520</v>
      </c>
      <c r="C11" s="175" t="s">
        <v>2521</v>
      </c>
      <c r="D11" s="175" t="s">
        <v>2522</v>
      </c>
      <c r="E11" s="173" t="s">
        <v>25</v>
      </c>
      <c r="F11" s="173" t="s">
        <v>17</v>
      </c>
      <c r="G11" s="173" t="s">
        <v>2523</v>
      </c>
      <c r="H11" s="174">
        <v>45293</v>
      </c>
      <c r="I11" s="174"/>
      <c r="J11" s="175" t="s">
        <v>2519</v>
      </c>
      <c r="K11" s="173" t="s">
        <v>21</v>
      </c>
      <c r="L11" s="173" t="s">
        <v>20</v>
      </c>
      <c r="M11" s="188">
        <v>12</v>
      </c>
      <c r="N11" s="179" t="s">
        <v>2515</v>
      </c>
      <c r="O11" s="190" t="s">
        <v>2524</v>
      </c>
    </row>
    <row r="12" spans="1:15" ht="76.5">
      <c r="A12" s="173">
        <v>8</v>
      </c>
      <c r="B12" s="173" t="s">
        <v>2525</v>
      </c>
      <c r="C12" s="175" t="s">
        <v>2526</v>
      </c>
      <c r="D12" s="175" t="s">
        <v>2527</v>
      </c>
      <c r="E12" s="173" t="s">
        <v>25</v>
      </c>
      <c r="F12" s="173" t="s">
        <v>17</v>
      </c>
      <c r="G12" s="173" t="s">
        <v>2523</v>
      </c>
      <c r="H12" s="174">
        <v>45293</v>
      </c>
      <c r="I12" s="174"/>
      <c r="J12" s="175" t="s">
        <v>2519</v>
      </c>
      <c r="K12" s="173" t="s">
        <v>21</v>
      </c>
      <c r="L12" s="173" t="s">
        <v>20</v>
      </c>
      <c r="M12" s="188">
        <v>12</v>
      </c>
      <c r="N12" s="179" t="s">
        <v>2515</v>
      </c>
      <c r="O12" s="190" t="s">
        <v>2524</v>
      </c>
    </row>
    <row r="13" spans="1:15" ht="76.5">
      <c r="A13" s="173">
        <v>9</v>
      </c>
      <c r="B13" s="173" t="s">
        <v>2528</v>
      </c>
      <c r="C13" s="175" t="s">
        <v>2529</v>
      </c>
      <c r="D13" s="175" t="s">
        <v>2530</v>
      </c>
      <c r="E13" s="173" t="s">
        <v>25</v>
      </c>
      <c r="F13" s="173" t="s">
        <v>17</v>
      </c>
      <c r="G13" s="173" t="s">
        <v>2523</v>
      </c>
      <c r="H13" s="174">
        <v>45293</v>
      </c>
      <c r="I13" s="174"/>
      <c r="J13" s="175" t="s">
        <v>2519</v>
      </c>
      <c r="K13" s="173" t="s">
        <v>21</v>
      </c>
      <c r="L13" s="173" t="s">
        <v>20</v>
      </c>
      <c r="M13" s="188">
        <v>12</v>
      </c>
      <c r="N13" s="179" t="s">
        <v>2515</v>
      </c>
      <c r="O13" s="190" t="s">
        <v>2524</v>
      </c>
    </row>
    <row r="14" spans="1:15" ht="153">
      <c r="A14" s="173">
        <v>10</v>
      </c>
      <c r="B14" s="173" t="s">
        <v>2531</v>
      </c>
      <c r="C14" s="175" t="s">
        <v>2532</v>
      </c>
      <c r="D14" s="175" t="s">
        <v>2533</v>
      </c>
      <c r="E14" s="173" t="s">
        <v>25</v>
      </c>
      <c r="F14" s="173" t="s">
        <v>17</v>
      </c>
      <c r="G14" s="173" t="s">
        <v>2523</v>
      </c>
      <c r="H14" s="174">
        <v>45293</v>
      </c>
      <c r="I14" s="174"/>
      <c r="J14" s="175" t="s">
        <v>2519</v>
      </c>
      <c r="K14" s="173" t="s">
        <v>21</v>
      </c>
      <c r="L14" s="173" t="s">
        <v>20</v>
      </c>
      <c r="M14" s="188">
        <v>12</v>
      </c>
      <c r="N14" s="179" t="s">
        <v>2515</v>
      </c>
      <c r="O14" s="190" t="s">
        <v>2524</v>
      </c>
    </row>
    <row r="15" spans="1:15">
      <c r="A15" s="176"/>
      <c r="B15" s="177" t="s">
        <v>825</v>
      </c>
      <c r="C15" s="177" t="s">
        <v>825</v>
      </c>
      <c r="D15" s="176"/>
      <c r="E15" s="176"/>
      <c r="F15" s="176"/>
      <c r="G15" s="176"/>
      <c r="H15" s="178"/>
      <c r="I15" s="178"/>
      <c r="J15" s="176"/>
      <c r="K15" s="176"/>
      <c r="L15" s="176"/>
      <c r="M15" s="187"/>
      <c r="N15" s="189"/>
      <c r="O15" s="184"/>
    </row>
    <row r="16" spans="1:15" ht="102">
      <c r="A16" s="173">
        <v>11</v>
      </c>
      <c r="B16" s="175" t="s">
        <v>2534</v>
      </c>
      <c r="C16" s="175" t="s">
        <v>2535</v>
      </c>
      <c r="D16" s="175" t="s">
        <v>2536</v>
      </c>
      <c r="E16" s="173" t="s">
        <v>25</v>
      </c>
      <c r="F16" s="173" t="s">
        <v>246</v>
      </c>
      <c r="G16" s="175" t="s">
        <v>2501</v>
      </c>
      <c r="H16" s="179"/>
      <c r="I16" s="174">
        <v>45327</v>
      </c>
      <c r="J16" s="175" t="s">
        <v>2537</v>
      </c>
      <c r="K16" s="173" t="s">
        <v>169</v>
      </c>
      <c r="L16" s="173" t="s">
        <v>20</v>
      </c>
      <c r="M16" s="188">
        <v>2</v>
      </c>
      <c r="N16" s="179" t="s">
        <v>756</v>
      </c>
      <c r="O16" s="185">
        <v>3100</v>
      </c>
    </row>
    <row r="17" spans="1:15" ht="102">
      <c r="A17" s="173">
        <v>12</v>
      </c>
      <c r="B17" s="175" t="s">
        <v>2538</v>
      </c>
      <c r="C17" s="175" t="s">
        <v>2539</v>
      </c>
      <c r="D17" s="175" t="s">
        <v>2540</v>
      </c>
      <c r="E17" s="173" t="s">
        <v>25</v>
      </c>
      <c r="F17" s="173" t="s">
        <v>17</v>
      </c>
      <c r="G17" s="175" t="s">
        <v>2501</v>
      </c>
      <c r="H17" s="174"/>
      <c r="I17" s="174">
        <v>45327</v>
      </c>
      <c r="J17" s="173" t="s">
        <v>1360</v>
      </c>
      <c r="K17" s="173" t="s">
        <v>169</v>
      </c>
      <c r="L17" s="173" t="s">
        <v>20</v>
      </c>
      <c r="M17" s="188">
        <v>8</v>
      </c>
      <c r="N17" s="179" t="s">
        <v>756</v>
      </c>
      <c r="O17" s="185">
        <v>6000</v>
      </c>
    </row>
    <row r="18" spans="1:15" ht="102">
      <c r="A18" s="173">
        <v>13</v>
      </c>
      <c r="B18" s="175" t="s">
        <v>2541</v>
      </c>
      <c r="C18" s="175" t="s">
        <v>2542</v>
      </c>
      <c r="D18" s="175" t="s">
        <v>2536</v>
      </c>
      <c r="E18" s="173" t="s">
        <v>2543</v>
      </c>
      <c r="F18" s="173" t="s">
        <v>168</v>
      </c>
      <c r="G18" s="175" t="s">
        <v>2501</v>
      </c>
      <c r="H18" s="174"/>
      <c r="I18" s="174">
        <v>45327</v>
      </c>
      <c r="J18" s="175" t="s">
        <v>2537</v>
      </c>
      <c r="K18" s="173" t="s">
        <v>169</v>
      </c>
      <c r="L18" s="173" t="s">
        <v>20</v>
      </c>
      <c r="M18" s="188">
        <v>2</v>
      </c>
      <c r="N18" s="179" t="s">
        <v>756</v>
      </c>
      <c r="O18" s="185">
        <v>6000</v>
      </c>
    </row>
    <row r="19" spans="1:15">
      <c r="A19" s="176"/>
      <c r="B19" s="177" t="s">
        <v>2544</v>
      </c>
      <c r="C19" s="177" t="s">
        <v>2544</v>
      </c>
      <c r="D19" s="176"/>
      <c r="E19" s="176"/>
      <c r="F19" s="176"/>
      <c r="G19" s="176"/>
      <c r="H19" s="178"/>
      <c r="I19" s="178"/>
      <c r="J19" s="176"/>
      <c r="K19" s="176"/>
      <c r="L19" s="176"/>
      <c r="M19" s="187"/>
      <c r="N19" s="189"/>
      <c r="O19" s="184"/>
    </row>
    <row r="20" spans="1:15" ht="114.75">
      <c r="A20" s="173">
        <v>14</v>
      </c>
      <c r="B20" s="175" t="s">
        <v>2545</v>
      </c>
      <c r="C20" s="175" t="s">
        <v>2546</v>
      </c>
      <c r="D20" s="175" t="s">
        <v>2547</v>
      </c>
      <c r="E20" s="173" t="s">
        <v>25</v>
      </c>
      <c r="F20" s="173" t="s">
        <v>17</v>
      </c>
      <c r="G20" s="175" t="s">
        <v>2501</v>
      </c>
      <c r="H20" s="174"/>
      <c r="I20" s="174">
        <v>45306</v>
      </c>
      <c r="J20" s="175" t="s">
        <v>2544</v>
      </c>
      <c r="K20" s="173" t="s">
        <v>21</v>
      </c>
      <c r="L20" s="173" t="s">
        <v>20</v>
      </c>
      <c r="M20" s="188">
        <v>12</v>
      </c>
      <c r="N20" s="179" t="s">
        <v>2515</v>
      </c>
      <c r="O20" s="185">
        <v>1800000</v>
      </c>
    </row>
    <row r="21" spans="1:15">
      <c r="A21" s="176"/>
      <c r="B21" s="177" t="s">
        <v>2548</v>
      </c>
      <c r="C21" s="177"/>
      <c r="D21" s="176"/>
      <c r="E21" s="176"/>
      <c r="F21" s="176"/>
      <c r="G21" s="176"/>
      <c r="H21" s="178"/>
      <c r="I21" s="178"/>
      <c r="J21" s="176"/>
      <c r="K21" s="176"/>
      <c r="L21" s="176"/>
      <c r="M21" s="187"/>
      <c r="N21" s="189"/>
      <c r="O21" s="184"/>
    </row>
    <row r="22" spans="1:15" ht="63.75">
      <c r="A22" s="173">
        <v>15</v>
      </c>
      <c r="B22" s="175" t="s">
        <v>2549</v>
      </c>
      <c r="C22" s="175" t="s">
        <v>2550</v>
      </c>
      <c r="D22" s="175" t="s">
        <v>2551</v>
      </c>
      <c r="E22" s="173" t="s">
        <v>2552</v>
      </c>
      <c r="F22" s="173" t="s">
        <v>17</v>
      </c>
      <c r="G22" s="173" t="s">
        <v>2523</v>
      </c>
      <c r="H22" s="174">
        <v>45293</v>
      </c>
      <c r="I22" s="174"/>
      <c r="J22" s="173" t="s">
        <v>1222</v>
      </c>
      <c r="K22" s="173" t="s">
        <v>21</v>
      </c>
      <c r="L22" s="173" t="s">
        <v>20</v>
      </c>
      <c r="M22" s="188">
        <v>5</v>
      </c>
      <c r="N22" s="179" t="s">
        <v>756</v>
      </c>
      <c r="O22" s="185">
        <v>20100</v>
      </c>
    </row>
    <row r="23" spans="1:15" ht="89.25">
      <c r="A23" s="173">
        <v>16</v>
      </c>
      <c r="B23" s="175" t="s">
        <v>2553</v>
      </c>
      <c r="C23" s="175" t="s">
        <v>2554</v>
      </c>
      <c r="D23" s="175" t="s">
        <v>2555</v>
      </c>
      <c r="E23" s="173" t="s">
        <v>2552</v>
      </c>
      <c r="F23" s="173" t="s">
        <v>17</v>
      </c>
      <c r="G23" s="173" t="s">
        <v>2501</v>
      </c>
      <c r="H23" s="174"/>
      <c r="I23" s="174">
        <v>45293</v>
      </c>
      <c r="J23" s="173" t="s">
        <v>1222</v>
      </c>
      <c r="K23" s="173" t="s">
        <v>21</v>
      </c>
      <c r="L23" s="173" t="s">
        <v>20</v>
      </c>
      <c r="M23" s="188">
        <v>1</v>
      </c>
      <c r="N23" s="179" t="s">
        <v>756</v>
      </c>
      <c r="O23" s="185">
        <v>2000</v>
      </c>
    </row>
    <row r="24" spans="1:15">
      <c r="A24" s="176"/>
      <c r="B24" s="177" t="s">
        <v>2556</v>
      </c>
      <c r="C24" s="177" t="s">
        <v>2556</v>
      </c>
      <c r="D24" s="176"/>
      <c r="E24" s="176"/>
      <c r="F24" s="176"/>
      <c r="G24" s="176"/>
      <c r="H24" s="178"/>
      <c r="I24" s="178"/>
      <c r="J24" s="176"/>
      <c r="K24" s="176"/>
      <c r="L24" s="176"/>
      <c r="M24" s="187"/>
      <c r="N24" s="189"/>
      <c r="O24" s="184"/>
    </row>
    <row r="25" spans="1:15" ht="76.5">
      <c r="A25" s="173">
        <v>17</v>
      </c>
      <c r="B25" s="175" t="s">
        <v>748</v>
      </c>
      <c r="C25" s="175" t="s">
        <v>2557</v>
      </c>
      <c r="D25" s="175" t="s">
        <v>2558</v>
      </c>
      <c r="E25" s="173" t="s">
        <v>25</v>
      </c>
      <c r="F25" s="173" t="s">
        <v>17</v>
      </c>
      <c r="G25" s="173" t="s">
        <v>2501</v>
      </c>
      <c r="H25" s="174"/>
      <c r="I25" s="174">
        <v>45293</v>
      </c>
      <c r="J25" s="173" t="s">
        <v>2074</v>
      </c>
      <c r="K25" s="173" t="s">
        <v>21</v>
      </c>
      <c r="L25" s="173" t="s">
        <v>20</v>
      </c>
      <c r="M25" s="173">
        <v>6000</v>
      </c>
      <c r="N25" s="179" t="s">
        <v>2559</v>
      </c>
      <c r="O25" s="185">
        <v>33000</v>
      </c>
    </row>
    <row r="26" spans="1:15" ht="114.75">
      <c r="A26" s="173">
        <v>18</v>
      </c>
      <c r="B26" s="175" t="s">
        <v>2560</v>
      </c>
      <c r="C26" s="175" t="s">
        <v>2561</v>
      </c>
      <c r="D26" s="175" t="s">
        <v>2562</v>
      </c>
      <c r="E26" s="173" t="s">
        <v>2543</v>
      </c>
      <c r="F26" s="173" t="s">
        <v>35</v>
      </c>
      <c r="G26" s="173" t="s">
        <v>2501</v>
      </c>
      <c r="H26" s="174"/>
      <c r="I26" s="174">
        <v>45293</v>
      </c>
      <c r="J26" s="173" t="s">
        <v>2074</v>
      </c>
      <c r="K26" s="173" t="s">
        <v>169</v>
      </c>
      <c r="L26" s="173" t="s">
        <v>20</v>
      </c>
      <c r="M26" s="188">
        <v>5</v>
      </c>
      <c r="N26" s="179" t="s">
        <v>756</v>
      </c>
      <c r="O26" s="185">
        <v>12000</v>
      </c>
    </row>
    <row r="27" spans="1:15" ht="89.25">
      <c r="A27" s="173">
        <v>19</v>
      </c>
      <c r="B27" s="175" t="s">
        <v>2563</v>
      </c>
      <c r="C27" s="175" t="s">
        <v>2564</v>
      </c>
      <c r="D27" s="175" t="s">
        <v>2565</v>
      </c>
      <c r="E27" s="173" t="s">
        <v>25</v>
      </c>
      <c r="F27" s="173" t="s">
        <v>246</v>
      </c>
      <c r="G27" s="173" t="s">
        <v>2501</v>
      </c>
      <c r="H27" s="174"/>
      <c r="I27" s="174">
        <v>45293</v>
      </c>
      <c r="J27" s="173" t="s">
        <v>2074</v>
      </c>
      <c r="K27" s="173" t="s">
        <v>21</v>
      </c>
      <c r="L27" s="173" t="s">
        <v>20</v>
      </c>
      <c r="M27" s="188">
        <v>5</v>
      </c>
      <c r="N27" s="179" t="s">
        <v>756</v>
      </c>
      <c r="O27" s="185">
        <v>10000</v>
      </c>
    </row>
    <row r="28" spans="1:15" ht="102">
      <c r="A28" s="173">
        <v>20</v>
      </c>
      <c r="B28" s="175" t="s">
        <v>2566</v>
      </c>
      <c r="C28" s="175" t="s">
        <v>2567</v>
      </c>
      <c r="D28" s="175" t="s">
        <v>2568</v>
      </c>
      <c r="E28" s="173" t="s">
        <v>25</v>
      </c>
      <c r="F28" s="173" t="s">
        <v>17</v>
      </c>
      <c r="G28" s="173" t="s">
        <v>2501</v>
      </c>
      <c r="H28" s="174"/>
      <c r="I28" s="174">
        <v>45390</v>
      </c>
      <c r="J28" s="173" t="s">
        <v>2074</v>
      </c>
      <c r="K28" s="173" t="s">
        <v>169</v>
      </c>
      <c r="L28" s="173" t="s">
        <v>20</v>
      </c>
      <c r="M28" s="188">
        <v>5</v>
      </c>
      <c r="N28" s="179" t="s">
        <v>756</v>
      </c>
      <c r="O28" s="185">
        <v>12000</v>
      </c>
    </row>
    <row r="29" spans="1:15">
      <c r="A29" s="176"/>
      <c r="B29" s="180" t="s">
        <v>2569</v>
      </c>
      <c r="C29" s="180" t="s">
        <v>2569</v>
      </c>
      <c r="D29" s="176"/>
      <c r="E29" s="176"/>
      <c r="F29" s="176"/>
      <c r="G29" s="176"/>
      <c r="H29" s="178"/>
      <c r="I29" s="178"/>
      <c r="J29" s="176"/>
      <c r="K29" s="176"/>
      <c r="L29" s="176"/>
      <c r="M29" s="187"/>
      <c r="N29" s="189"/>
      <c r="O29" s="184"/>
    </row>
    <row r="30" spans="1:15" ht="89.25">
      <c r="A30" s="173">
        <v>21</v>
      </c>
      <c r="B30" s="175" t="s">
        <v>2570</v>
      </c>
      <c r="C30" s="175" t="s">
        <v>2571</v>
      </c>
      <c r="D30" s="175" t="s">
        <v>2572</v>
      </c>
      <c r="E30" s="173" t="s">
        <v>2573</v>
      </c>
      <c r="F30" s="173" t="s">
        <v>17</v>
      </c>
      <c r="G30" s="173" t="s">
        <v>2501</v>
      </c>
      <c r="H30" s="174"/>
      <c r="I30" s="174">
        <v>45355</v>
      </c>
      <c r="J30" s="173" t="s">
        <v>227</v>
      </c>
      <c r="K30" s="173" t="s">
        <v>21</v>
      </c>
      <c r="L30" s="173" t="s">
        <v>20</v>
      </c>
      <c r="M30" s="188">
        <v>25</v>
      </c>
      <c r="N30" s="179" t="s">
        <v>2574</v>
      </c>
      <c r="O30" s="185">
        <v>9600</v>
      </c>
    </row>
    <row r="31" spans="1:15" ht="89.25">
      <c r="A31" s="173">
        <v>22</v>
      </c>
      <c r="B31" s="175" t="s">
        <v>2575</v>
      </c>
      <c r="C31" s="175" t="s">
        <v>2576</v>
      </c>
      <c r="D31" s="175" t="s">
        <v>2577</v>
      </c>
      <c r="E31" s="173" t="s">
        <v>2573</v>
      </c>
      <c r="F31" s="173" t="s">
        <v>17</v>
      </c>
      <c r="G31" s="173" t="s">
        <v>2501</v>
      </c>
      <c r="H31" s="174"/>
      <c r="I31" s="174">
        <v>45306</v>
      </c>
      <c r="J31" s="173" t="s">
        <v>227</v>
      </c>
      <c r="K31" s="173" t="s">
        <v>21</v>
      </c>
      <c r="L31" s="173" t="s">
        <v>20</v>
      </c>
      <c r="M31" s="188">
        <v>12</v>
      </c>
      <c r="N31" s="179" t="s">
        <v>2515</v>
      </c>
      <c r="O31" s="185">
        <v>1080</v>
      </c>
    </row>
    <row r="32" spans="1:15" ht="51">
      <c r="A32" s="173">
        <v>23</v>
      </c>
      <c r="B32" s="175" t="s">
        <v>2578</v>
      </c>
      <c r="C32" s="175" t="s">
        <v>2579</v>
      </c>
      <c r="D32" s="175" t="s">
        <v>2580</v>
      </c>
      <c r="E32" s="173" t="s">
        <v>2573</v>
      </c>
      <c r="F32" s="173" t="s">
        <v>17</v>
      </c>
      <c r="G32" s="173" t="s">
        <v>2501</v>
      </c>
      <c r="H32" s="174"/>
      <c r="I32" s="174">
        <v>45355</v>
      </c>
      <c r="J32" s="173" t="s">
        <v>227</v>
      </c>
      <c r="K32" s="173" t="s">
        <v>169</v>
      </c>
      <c r="L32" s="173" t="s">
        <v>20</v>
      </c>
      <c r="M32" s="188">
        <v>25</v>
      </c>
      <c r="N32" s="179" t="s">
        <v>2574</v>
      </c>
      <c r="O32" s="185">
        <v>9600</v>
      </c>
    </row>
    <row r="33" spans="1:15" ht="89.25">
      <c r="A33" s="173">
        <v>24</v>
      </c>
      <c r="B33" s="175" t="s">
        <v>2581</v>
      </c>
      <c r="C33" s="175" t="s">
        <v>2582</v>
      </c>
      <c r="D33" s="175" t="s">
        <v>2583</v>
      </c>
      <c r="E33" s="173" t="s">
        <v>2543</v>
      </c>
      <c r="F33" s="173" t="s">
        <v>168</v>
      </c>
      <c r="G33" s="173" t="s">
        <v>2501</v>
      </c>
      <c r="H33" s="174"/>
      <c r="I33" s="174">
        <v>45355</v>
      </c>
      <c r="J33" s="173" t="s">
        <v>227</v>
      </c>
      <c r="K33" s="173" t="s">
        <v>169</v>
      </c>
      <c r="L33" s="173" t="s">
        <v>20</v>
      </c>
      <c r="M33" s="188">
        <v>40</v>
      </c>
      <c r="N33" s="179" t="s">
        <v>756</v>
      </c>
      <c r="O33" s="185">
        <v>8000</v>
      </c>
    </row>
    <row r="34" spans="1:15" ht="127.5">
      <c r="A34" s="173">
        <v>25</v>
      </c>
      <c r="B34" s="175" t="s">
        <v>2584</v>
      </c>
      <c r="C34" s="175" t="s">
        <v>2585</v>
      </c>
      <c r="D34" s="175" t="s">
        <v>2586</v>
      </c>
      <c r="E34" s="173" t="s">
        <v>2543</v>
      </c>
      <c r="F34" s="173" t="s">
        <v>168</v>
      </c>
      <c r="G34" s="173" t="s">
        <v>2501</v>
      </c>
      <c r="H34" s="174"/>
      <c r="I34" s="174">
        <v>45355</v>
      </c>
      <c r="J34" s="173" t="s">
        <v>227</v>
      </c>
      <c r="K34" s="173" t="s">
        <v>169</v>
      </c>
      <c r="L34" s="173" t="s">
        <v>20</v>
      </c>
      <c r="M34" s="188">
        <v>10</v>
      </c>
      <c r="N34" s="179" t="s">
        <v>756</v>
      </c>
      <c r="O34" s="185">
        <v>10000</v>
      </c>
    </row>
    <row r="35" spans="1:15" ht="76.5">
      <c r="A35" s="173">
        <v>26</v>
      </c>
      <c r="B35" s="175" t="s">
        <v>2587</v>
      </c>
      <c r="C35" s="175" t="s">
        <v>2588</v>
      </c>
      <c r="D35" s="175" t="s">
        <v>2589</v>
      </c>
      <c r="E35" s="173" t="s">
        <v>2543</v>
      </c>
      <c r="F35" s="173" t="s">
        <v>168</v>
      </c>
      <c r="G35" s="173" t="s">
        <v>2501</v>
      </c>
      <c r="H35" s="179"/>
      <c r="I35" s="174">
        <v>45327</v>
      </c>
      <c r="J35" s="173" t="s">
        <v>227</v>
      </c>
      <c r="K35" s="173" t="s">
        <v>169</v>
      </c>
      <c r="L35" s="173" t="s">
        <v>20</v>
      </c>
      <c r="M35" s="188">
        <v>6</v>
      </c>
      <c r="N35" s="179" t="s">
        <v>756</v>
      </c>
      <c r="O35" s="185">
        <v>30000</v>
      </c>
    </row>
    <row r="36" spans="1:15" ht="63.75">
      <c r="A36" s="173">
        <v>27</v>
      </c>
      <c r="B36" s="175" t="s">
        <v>2590</v>
      </c>
      <c r="C36" s="175" t="s">
        <v>2591</v>
      </c>
      <c r="D36" s="175" t="s">
        <v>2592</v>
      </c>
      <c r="E36" s="173" t="s">
        <v>2543</v>
      </c>
      <c r="F36" s="173" t="s">
        <v>168</v>
      </c>
      <c r="G36" s="173" t="s">
        <v>2501</v>
      </c>
      <c r="H36" s="179"/>
      <c r="I36" s="174">
        <v>45355</v>
      </c>
      <c r="J36" s="173" t="s">
        <v>227</v>
      </c>
      <c r="K36" s="173" t="s">
        <v>169</v>
      </c>
      <c r="L36" s="173" t="s">
        <v>20</v>
      </c>
      <c r="M36" s="188">
        <v>3</v>
      </c>
      <c r="N36" s="179" t="s">
        <v>756</v>
      </c>
      <c r="O36" s="185">
        <v>3000</v>
      </c>
    </row>
    <row r="37" spans="1:15" ht="38.25">
      <c r="A37" s="173">
        <v>28</v>
      </c>
      <c r="B37" s="175" t="s">
        <v>2593</v>
      </c>
      <c r="C37" s="175" t="s">
        <v>2594</v>
      </c>
      <c r="D37" s="175" t="s">
        <v>2595</v>
      </c>
      <c r="E37" s="173" t="s">
        <v>2596</v>
      </c>
      <c r="F37" s="173" t="s">
        <v>17</v>
      </c>
      <c r="G37" s="173" t="s">
        <v>2501</v>
      </c>
      <c r="H37" s="179"/>
      <c r="I37" s="174">
        <v>45355</v>
      </c>
      <c r="J37" s="173" t="s">
        <v>227</v>
      </c>
      <c r="K37" s="173" t="s">
        <v>21</v>
      </c>
      <c r="L37" s="173" t="s">
        <v>20</v>
      </c>
      <c r="M37" s="188">
        <v>35</v>
      </c>
      <c r="N37" s="179" t="s">
        <v>756</v>
      </c>
      <c r="O37" s="185">
        <v>3500</v>
      </c>
    </row>
    <row r="38" spans="1:15" ht="102">
      <c r="A38" s="173">
        <v>29</v>
      </c>
      <c r="B38" s="173" t="s">
        <v>2597</v>
      </c>
      <c r="C38" s="175" t="s">
        <v>2598</v>
      </c>
      <c r="D38" s="175" t="s">
        <v>2599</v>
      </c>
      <c r="E38" s="173" t="s">
        <v>2543</v>
      </c>
      <c r="F38" s="173" t="s">
        <v>168</v>
      </c>
      <c r="G38" s="173" t="s">
        <v>2501</v>
      </c>
      <c r="H38" s="179"/>
      <c r="I38" s="174">
        <v>45355</v>
      </c>
      <c r="J38" s="173" t="s">
        <v>227</v>
      </c>
      <c r="K38" s="173" t="s">
        <v>169</v>
      </c>
      <c r="L38" s="173" t="s">
        <v>20</v>
      </c>
      <c r="M38" s="188">
        <v>4</v>
      </c>
      <c r="N38" s="179" t="s">
        <v>756</v>
      </c>
      <c r="O38" s="185">
        <v>160</v>
      </c>
    </row>
    <row r="39" spans="1:15" ht="102">
      <c r="A39" s="173">
        <v>30</v>
      </c>
      <c r="B39" s="175" t="s">
        <v>2065</v>
      </c>
      <c r="C39" s="175" t="s">
        <v>2600</v>
      </c>
      <c r="D39" s="175" t="s">
        <v>2599</v>
      </c>
      <c r="E39" s="173" t="s">
        <v>2543</v>
      </c>
      <c r="F39" s="173" t="s">
        <v>168</v>
      </c>
      <c r="G39" s="173" t="s">
        <v>2501</v>
      </c>
      <c r="H39" s="179"/>
      <c r="I39" s="174">
        <v>45355</v>
      </c>
      <c r="J39" s="173" t="s">
        <v>227</v>
      </c>
      <c r="K39" s="173" t="s">
        <v>169</v>
      </c>
      <c r="L39" s="173" t="s">
        <v>20</v>
      </c>
      <c r="M39" s="188">
        <v>5</v>
      </c>
      <c r="N39" s="179" t="s">
        <v>756</v>
      </c>
      <c r="O39" s="185">
        <v>150</v>
      </c>
    </row>
    <row r="40" spans="1:15" ht="102">
      <c r="A40" s="173">
        <v>31</v>
      </c>
      <c r="B40" s="175" t="s">
        <v>2601</v>
      </c>
      <c r="C40" s="175" t="s">
        <v>2602</v>
      </c>
      <c r="D40" s="175" t="s">
        <v>2599</v>
      </c>
      <c r="E40" s="173" t="s">
        <v>2543</v>
      </c>
      <c r="F40" s="173" t="s">
        <v>168</v>
      </c>
      <c r="G40" s="173" t="s">
        <v>2501</v>
      </c>
      <c r="H40" s="179"/>
      <c r="I40" s="174">
        <v>45355</v>
      </c>
      <c r="J40" s="173" t="s">
        <v>227</v>
      </c>
      <c r="K40" s="173" t="s">
        <v>169</v>
      </c>
      <c r="L40" s="173" t="s">
        <v>20</v>
      </c>
      <c r="M40" s="188">
        <v>100</v>
      </c>
      <c r="N40" s="179" t="s">
        <v>2603</v>
      </c>
      <c r="O40" s="185">
        <v>150</v>
      </c>
    </row>
    <row r="41" spans="1:15" ht="63.75">
      <c r="A41" s="173">
        <v>32</v>
      </c>
      <c r="B41" s="175" t="s">
        <v>2604</v>
      </c>
      <c r="C41" s="175" t="s">
        <v>2605</v>
      </c>
      <c r="D41" s="175" t="s">
        <v>2606</v>
      </c>
      <c r="E41" s="173" t="s">
        <v>2543</v>
      </c>
      <c r="F41" s="173" t="s">
        <v>168</v>
      </c>
      <c r="G41" s="173" t="s">
        <v>2501</v>
      </c>
      <c r="H41" s="179"/>
      <c r="I41" s="174">
        <v>45355</v>
      </c>
      <c r="J41" s="173" t="s">
        <v>2071</v>
      </c>
      <c r="K41" s="173" t="s">
        <v>169</v>
      </c>
      <c r="L41" s="173" t="s">
        <v>20</v>
      </c>
      <c r="M41" s="188">
        <v>4</v>
      </c>
      <c r="N41" s="179" t="s">
        <v>756</v>
      </c>
      <c r="O41" s="185">
        <v>600</v>
      </c>
    </row>
    <row r="42" spans="1:15" ht="38.25">
      <c r="A42" s="173">
        <v>33</v>
      </c>
      <c r="B42" s="175" t="s">
        <v>2607</v>
      </c>
      <c r="C42" s="175" t="s">
        <v>2608</v>
      </c>
      <c r="D42" s="175" t="s">
        <v>2609</v>
      </c>
      <c r="E42" s="173" t="s">
        <v>2543</v>
      </c>
      <c r="F42" s="173" t="s">
        <v>35</v>
      </c>
      <c r="G42" s="173" t="s">
        <v>2501</v>
      </c>
      <c r="H42" s="179"/>
      <c r="I42" s="174">
        <v>45355</v>
      </c>
      <c r="J42" s="173" t="s">
        <v>227</v>
      </c>
      <c r="K42" s="173" t="s">
        <v>169</v>
      </c>
      <c r="L42" s="173" t="s">
        <v>20</v>
      </c>
      <c r="M42" s="188">
        <v>12</v>
      </c>
      <c r="N42" s="179" t="s">
        <v>756</v>
      </c>
      <c r="O42" s="185">
        <v>3600</v>
      </c>
    </row>
    <row r="43" spans="1:15" ht="38.25">
      <c r="A43" s="173">
        <v>34</v>
      </c>
      <c r="B43" s="175" t="s">
        <v>2610</v>
      </c>
      <c r="C43" s="175" t="s">
        <v>2611</v>
      </c>
      <c r="D43" s="175" t="s">
        <v>2612</v>
      </c>
      <c r="E43" s="173" t="s">
        <v>2543</v>
      </c>
      <c r="F43" s="173" t="s">
        <v>168</v>
      </c>
      <c r="G43" s="173" t="s">
        <v>2501</v>
      </c>
      <c r="H43" s="179"/>
      <c r="I43" s="174">
        <v>45355</v>
      </c>
      <c r="J43" s="173" t="s">
        <v>227</v>
      </c>
      <c r="K43" s="173" t="s">
        <v>169</v>
      </c>
      <c r="L43" s="173" t="s">
        <v>20</v>
      </c>
      <c r="M43" s="188">
        <v>20</v>
      </c>
      <c r="N43" s="179" t="s">
        <v>756</v>
      </c>
      <c r="O43" s="185">
        <v>4000</v>
      </c>
    </row>
    <row r="44" spans="1:15" ht="38.25">
      <c r="A44" s="173">
        <v>35</v>
      </c>
      <c r="B44" s="175" t="s">
        <v>2613</v>
      </c>
      <c r="C44" s="175" t="s">
        <v>2614</v>
      </c>
      <c r="D44" s="175" t="s">
        <v>2612</v>
      </c>
      <c r="E44" s="173" t="s">
        <v>2543</v>
      </c>
      <c r="F44" s="173" t="s">
        <v>168</v>
      </c>
      <c r="G44" s="173" t="s">
        <v>2501</v>
      </c>
      <c r="H44" s="179"/>
      <c r="I44" s="174">
        <v>45355</v>
      </c>
      <c r="J44" s="173" t="s">
        <v>227</v>
      </c>
      <c r="K44" s="173" t="s">
        <v>169</v>
      </c>
      <c r="L44" s="173" t="s">
        <v>20</v>
      </c>
      <c r="M44" s="188">
        <v>3</v>
      </c>
      <c r="N44" s="179" t="s">
        <v>756</v>
      </c>
      <c r="O44" s="185">
        <v>1500</v>
      </c>
    </row>
    <row r="45" spans="1:15" ht="38.25">
      <c r="A45" s="173">
        <v>36</v>
      </c>
      <c r="B45" s="175" t="s">
        <v>2615</v>
      </c>
      <c r="C45" s="175" t="s">
        <v>2616</v>
      </c>
      <c r="D45" s="175" t="s">
        <v>2612</v>
      </c>
      <c r="E45" s="173" t="s">
        <v>2543</v>
      </c>
      <c r="F45" s="173" t="s">
        <v>168</v>
      </c>
      <c r="G45" s="173" t="s">
        <v>2501</v>
      </c>
      <c r="H45" s="179"/>
      <c r="I45" s="174">
        <v>45355</v>
      </c>
      <c r="J45" s="173" t="s">
        <v>227</v>
      </c>
      <c r="K45" s="173" t="s">
        <v>169</v>
      </c>
      <c r="L45" s="173" t="s">
        <v>20</v>
      </c>
      <c r="M45" s="188">
        <v>50</v>
      </c>
      <c r="N45" s="179" t="s">
        <v>756</v>
      </c>
      <c r="O45" s="185">
        <v>483.5</v>
      </c>
    </row>
    <row r="46" spans="1:15" ht="38.25">
      <c r="A46" s="173">
        <v>37</v>
      </c>
      <c r="B46" s="175" t="s">
        <v>2617</v>
      </c>
      <c r="C46" s="175" t="s">
        <v>2618</v>
      </c>
      <c r="D46" s="175" t="s">
        <v>2612</v>
      </c>
      <c r="E46" s="173" t="s">
        <v>2543</v>
      </c>
      <c r="F46" s="173" t="s">
        <v>168</v>
      </c>
      <c r="G46" s="173" t="s">
        <v>2501</v>
      </c>
      <c r="H46" s="179"/>
      <c r="I46" s="174">
        <v>45355</v>
      </c>
      <c r="J46" s="173" t="s">
        <v>227</v>
      </c>
      <c r="K46" s="173" t="s">
        <v>169</v>
      </c>
      <c r="L46" s="173" t="s">
        <v>20</v>
      </c>
      <c r="M46" s="188">
        <v>10</v>
      </c>
      <c r="N46" s="179" t="s">
        <v>756</v>
      </c>
      <c r="O46" s="185">
        <v>300</v>
      </c>
    </row>
    <row r="47" spans="1:15" ht="38.25">
      <c r="A47" s="173">
        <v>38</v>
      </c>
      <c r="B47" s="175" t="s">
        <v>2619</v>
      </c>
      <c r="C47" s="175" t="s">
        <v>2620</v>
      </c>
      <c r="D47" s="175" t="s">
        <v>2612</v>
      </c>
      <c r="E47" s="173" t="s">
        <v>2543</v>
      </c>
      <c r="F47" s="173" t="s">
        <v>168</v>
      </c>
      <c r="G47" s="173" t="s">
        <v>2501</v>
      </c>
      <c r="H47" s="179"/>
      <c r="I47" s="174">
        <v>45355</v>
      </c>
      <c r="J47" s="173" t="s">
        <v>227</v>
      </c>
      <c r="K47" s="173" t="s">
        <v>169</v>
      </c>
      <c r="L47" s="173" t="s">
        <v>20</v>
      </c>
      <c r="M47" s="188">
        <v>10</v>
      </c>
      <c r="N47" s="179" t="s">
        <v>756</v>
      </c>
      <c r="O47" s="185">
        <v>350</v>
      </c>
    </row>
    <row r="48" spans="1:15">
      <c r="A48" s="176"/>
      <c r="B48" s="177" t="s">
        <v>2621</v>
      </c>
      <c r="C48" s="177" t="s">
        <v>2621</v>
      </c>
      <c r="D48" s="176"/>
      <c r="E48" s="176"/>
      <c r="F48" s="176"/>
      <c r="G48" s="176"/>
      <c r="H48" s="178"/>
      <c r="I48" s="178"/>
      <c r="J48" s="176"/>
      <c r="K48" s="176"/>
      <c r="L48" s="176"/>
      <c r="M48" s="187"/>
      <c r="N48" s="189"/>
      <c r="O48" s="184"/>
    </row>
    <row r="49" spans="1:15" ht="63.75">
      <c r="A49" s="173">
        <v>39</v>
      </c>
      <c r="B49" s="175" t="s">
        <v>2622</v>
      </c>
      <c r="C49" s="175" t="s">
        <v>2623</v>
      </c>
      <c r="D49" s="175" t="s">
        <v>2624</v>
      </c>
      <c r="E49" s="173" t="s">
        <v>2573</v>
      </c>
      <c r="F49" s="173" t="s">
        <v>17</v>
      </c>
      <c r="G49" s="173" t="s">
        <v>2523</v>
      </c>
      <c r="H49" s="174">
        <v>45293</v>
      </c>
      <c r="I49" s="174"/>
      <c r="J49" s="173" t="s">
        <v>227</v>
      </c>
      <c r="K49" s="173" t="s">
        <v>21</v>
      </c>
      <c r="L49" s="173" t="s">
        <v>20</v>
      </c>
      <c r="M49" s="188">
        <v>12</v>
      </c>
      <c r="N49" s="179" t="s">
        <v>2515</v>
      </c>
      <c r="O49" s="185">
        <v>61880</v>
      </c>
    </row>
    <row r="50" spans="1:15" ht="63.75">
      <c r="A50" s="173">
        <v>40</v>
      </c>
      <c r="B50" s="175" t="s">
        <v>2625</v>
      </c>
      <c r="C50" s="175" t="s">
        <v>2626</v>
      </c>
      <c r="D50" s="175" t="s">
        <v>2627</v>
      </c>
      <c r="E50" s="173" t="s">
        <v>2573</v>
      </c>
      <c r="F50" s="173" t="s">
        <v>17</v>
      </c>
      <c r="G50" s="173" t="s">
        <v>2501</v>
      </c>
      <c r="H50" s="174"/>
      <c r="I50" s="174">
        <v>45446</v>
      </c>
      <c r="J50" s="173" t="s">
        <v>227</v>
      </c>
      <c r="K50" s="173" t="s">
        <v>169</v>
      </c>
      <c r="L50" s="173" t="s">
        <v>20</v>
      </c>
      <c r="M50" s="188">
        <v>6</v>
      </c>
      <c r="N50" s="179" t="s">
        <v>2628</v>
      </c>
      <c r="O50" s="185">
        <v>12000</v>
      </c>
    </row>
    <row r="51" spans="1:15" ht="89.25">
      <c r="A51" s="173">
        <v>41</v>
      </c>
      <c r="B51" s="175" t="s">
        <v>2629</v>
      </c>
      <c r="C51" s="175" t="s">
        <v>2630</v>
      </c>
      <c r="D51" s="175" t="s">
        <v>2631</v>
      </c>
      <c r="E51" s="173" t="s">
        <v>25</v>
      </c>
      <c r="F51" s="173" t="s">
        <v>17</v>
      </c>
      <c r="G51" s="173" t="s">
        <v>2523</v>
      </c>
      <c r="H51" s="174">
        <v>45341</v>
      </c>
      <c r="I51" s="174"/>
      <c r="J51" s="173" t="s">
        <v>227</v>
      </c>
      <c r="K51" s="173" t="s">
        <v>21</v>
      </c>
      <c r="L51" s="173" t="s">
        <v>20</v>
      </c>
      <c r="M51" s="188">
        <v>1</v>
      </c>
      <c r="N51" s="179" t="s">
        <v>2628</v>
      </c>
      <c r="O51" s="185">
        <v>1300</v>
      </c>
    </row>
    <row r="52" spans="1:15" ht="51">
      <c r="A52" s="173">
        <v>42</v>
      </c>
      <c r="B52" s="175" t="s">
        <v>2632</v>
      </c>
      <c r="C52" s="175" t="s">
        <v>2633</v>
      </c>
      <c r="D52" s="175" t="s">
        <v>2634</v>
      </c>
      <c r="E52" s="173" t="s">
        <v>25</v>
      </c>
      <c r="F52" s="173" t="s">
        <v>17</v>
      </c>
      <c r="G52" s="173" t="s">
        <v>2523</v>
      </c>
      <c r="H52" s="174">
        <v>45307</v>
      </c>
      <c r="I52" s="174"/>
      <c r="J52" s="173" t="s">
        <v>227</v>
      </c>
      <c r="K52" s="173" t="s">
        <v>21</v>
      </c>
      <c r="L52" s="173" t="s">
        <v>20</v>
      </c>
      <c r="M52" s="188">
        <v>6</v>
      </c>
      <c r="N52" s="179" t="s">
        <v>2628</v>
      </c>
      <c r="O52" s="185">
        <v>48000</v>
      </c>
    </row>
    <row r="53" spans="1:15" ht="89.25">
      <c r="A53" s="173">
        <v>43</v>
      </c>
      <c r="B53" s="175" t="s">
        <v>2635</v>
      </c>
      <c r="C53" s="175" t="s">
        <v>2636</v>
      </c>
      <c r="D53" s="175" t="s">
        <v>2637</v>
      </c>
      <c r="E53" s="173" t="s">
        <v>25</v>
      </c>
      <c r="F53" s="173" t="s">
        <v>17</v>
      </c>
      <c r="G53" s="173" t="s">
        <v>2523</v>
      </c>
      <c r="H53" s="174">
        <v>45507</v>
      </c>
      <c r="I53" s="174"/>
      <c r="J53" s="173" t="s">
        <v>227</v>
      </c>
      <c r="K53" s="173" t="s">
        <v>21</v>
      </c>
      <c r="L53" s="173" t="s">
        <v>20</v>
      </c>
      <c r="M53" s="188">
        <v>7</v>
      </c>
      <c r="N53" s="179" t="s">
        <v>2628</v>
      </c>
      <c r="O53" s="185">
        <v>98000</v>
      </c>
    </row>
    <row r="54" spans="1:15" ht="51">
      <c r="A54" s="173">
        <v>44</v>
      </c>
      <c r="B54" s="175" t="s">
        <v>2638</v>
      </c>
      <c r="C54" s="175" t="s">
        <v>2639</v>
      </c>
      <c r="D54" s="175" t="s">
        <v>2640</v>
      </c>
      <c r="E54" s="173" t="s">
        <v>2573</v>
      </c>
      <c r="F54" s="173" t="s">
        <v>17</v>
      </c>
      <c r="G54" s="173" t="s">
        <v>2501</v>
      </c>
      <c r="H54" s="174"/>
      <c r="I54" s="174">
        <v>45355</v>
      </c>
      <c r="J54" s="173" t="s">
        <v>227</v>
      </c>
      <c r="K54" s="173" t="s">
        <v>21</v>
      </c>
      <c r="L54" s="173" t="s">
        <v>20</v>
      </c>
      <c r="M54" s="188">
        <v>6</v>
      </c>
      <c r="N54" s="179" t="s">
        <v>2628</v>
      </c>
      <c r="O54" s="185">
        <v>6600</v>
      </c>
    </row>
    <row r="55" spans="1:15" ht="89.25">
      <c r="A55" s="173">
        <v>45</v>
      </c>
      <c r="B55" s="175" t="s">
        <v>2641</v>
      </c>
      <c r="C55" s="175" t="s">
        <v>2642</v>
      </c>
      <c r="D55" s="175" t="s">
        <v>2643</v>
      </c>
      <c r="E55" s="173" t="s">
        <v>2573</v>
      </c>
      <c r="F55" s="173" t="s">
        <v>17</v>
      </c>
      <c r="G55" s="173" t="s">
        <v>2501</v>
      </c>
      <c r="H55" s="174"/>
      <c r="I55" s="174">
        <v>45355</v>
      </c>
      <c r="J55" s="173" t="s">
        <v>227</v>
      </c>
      <c r="K55" s="173" t="s">
        <v>21</v>
      </c>
      <c r="L55" s="173" t="s">
        <v>20</v>
      </c>
      <c r="M55" s="188">
        <v>20</v>
      </c>
      <c r="N55" s="179" t="s">
        <v>2628</v>
      </c>
      <c r="O55" s="185">
        <v>7680</v>
      </c>
    </row>
    <row r="56" spans="1:15" ht="51">
      <c r="A56" s="173">
        <v>46</v>
      </c>
      <c r="B56" s="175" t="s">
        <v>2644</v>
      </c>
      <c r="C56" s="175" t="s">
        <v>2645</v>
      </c>
      <c r="D56" s="175" t="s">
        <v>2646</v>
      </c>
      <c r="E56" s="173" t="s">
        <v>25</v>
      </c>
      <c r="F56" s="173" t="s">
        <v>17</v>
      </c>
      <c r="G56" s="173" t="s">
        <v>2501</v>
      </c>
      <c r="H56" s="174"/>
      <c r="I56" s="174">
        <v>45306</v>
      </c>
      <c r="J56" s="173" t="s">
        <v>227</v>
      </c>
      <c r="K56" s="173" t="s">
        <v>21</v>
      </c>
      <c r="L56" s="173" t="s">
        <v>20</v>
      </c>
      <c r="M56" s="188">
        <v>2</v>
      </c>
      <c r="N56" s="179" t="s">
        <v>2628</v>
      </c>
      <c r="O56" s="185">
        <v>5350</v>
      </c>
    </row>
    <row r="57" spans="1:15" ht="76.5">
      <c r="A57" s="173">
        <v>47</v>
      </c>
      <c r="B57" s="175" t="s">
        <v>2647</v>
      </c>
      <c r="C57" s="175" t="s">
        <v>2648</v>
      </c>
      <c r="D57" s="175" t="s">
        <v>2649</v>
      </c>
      <c r="E57" s="173" t="s">
        <v>2573</v>
      </c>
      <c r="F57" s="173" t="s">
        <v>17</v>
      </c>
      <c r="G57" s="173" t="s">
        <v>2501</v>
      </c>
      <c r="H57" s="174"/>
      <c r="I57" s="174">
        <v>45341</v>
      </c>
      <c r="J57" s="173" t="s">
        <v>227</v>
      </c>
      <c r="K57" s="173" t="s">
        <v>21</v>
      </c>
      <c r="L57" s="173" t="s">
        <v>20</v>
      </c>
      <c r="M57" s="188">
        <v>20</v>
      </c>
      <c r="N57" s="179" t="s">
        <v>2628</v>
      </c>
      <c r="O57" s="185">
        <v>4000</v>
      </c>
    </row>
    <row r="58" spans="1:15" ht="76.5">
      <c r="A58" s="173">
        <v>48</v>
      </c>
      <c r="B58" s="175" t="s">
        <v>2647</v>
      </c>
      <c r="C58" s="175" t="s">
        <v>2648</v>
      </c>
      <c r="D58" s="175" t="s">
        <v>2650</v>
      </c>
      <c r="E58" s="173" t="s">
        <v>2573</v>
      </c>
      <c r="F58" s="173" t="s">
        <v>17</v>
      </c>
      <c r="G58" s="173" t="s">
        <v>2501</v>
      </c>
      <c r="H58" s="174"/>
      <c r="I58" s="174">
        <v>45341</v>
      </c>
      <c r="J58" s="173" t="s">
        <v>227</v>
      </c>
      <c r="K58" s="173" t="s">
        <v>21</v>
      </c>
      <c r="L58" s="173" t="s">
        <v>20</v>
      </c>
      <c r="M58" s="188">
        <v>1</v>
      </c>
      <c r="N58" s="179" t="s">
        <v>2628</v>
      </c>
      <c r="O58" s="185">
        <v>200</v>
      </c>
    </row>
    <row r="59" spans="1:15">
      <c r="A59" s="176"/>
      <c r="B59" s="177" t="s">
        <v>2651</v>
      </c>
      <c r="C59" s="177" t="s">
        <v>2651</v>
      </c>
      <c r="D59" s="176"/>
      <c r="E59" s="176"/>
      <c r="F59" s="176"/>
      <c r="G59" s="176"/>
      <c r="H59" s="178"/>
      <c r="I59" s="178"/>
      <c r="J59" s="176"/>
      <c r="K59" s="176"/>
      <c r="L59" s="176"/>
      <c r="M59" s="187"/>
      <c r="N59" s="189"/>
      <c r="O59" s="184"/>
    </row>
    <row r="60" spans="1:15" ht="153">
      <c r="A60" s="173">
        <v>49</v>
      </c>
      <c r="B60" s="175" t="s">
        <v>2652</v>
      </c>
      <c r="C60" s="175" t="s">
        <v>2653</v>
      </c>
      <c r="D60" s="175" t="s">
        <v>2654</v>
      </c>
      <c r="E60" s="173" t="s">
        <v>25</v>
      </c>
      <c r="F60" s="173" t="s">
        <v>17</v>
      </c>
      <c r="G60" s="173" t="s">
        <v>2501</v>
      </c>
      <c r="H60" s="174"/>
      <c r="I60" s="174">
        <v>45362</v>
      </c>
      <c r="J60" s="173" t="s">
        <v>1360</v>
      </c>
      <c r="K60" s="173" t="s">
        <v>169</v>
      </c>
      <c r="L60" s="173" t="s">
        <v>20</v>
      </c>
      <c r="M60" s="188">
        <v>4</v>
      </c>
      <c r="N60" s="179" t="s">
        <v>756</v>
      </c>
      <c r="O60" s="185">
        <v>600</v>
      </c>
    </row>
    <row r="61" spans="1:15" ht="63.75">
      <c r="A61" s="173">
        <v>50</v>
      </c>
      <c r="B61" s="175" t="s">
        <v>2655</v>
      </c>
      <c r="C61" s="175" t="s">
        <v>2656</v>
      </c>
      <c r="D61" s="175" t="s">
        <v>2657</v>
      </c>
      <c r="E61" s="173" t="s">
        <v>25</v>
      </c>
      <c r="F61" s="173" t="s">
        <v>17</v>
      </c>
      <c r="G61" s="173" t="s">
        <v>2523</v>
      </c>
      <c r="H61" s="174">
        <v>45293</v>
      </c>
      <c r="I61" s="174"/>
      <c r="J61" s="173" t="s">
        <v>2658</v>
      </c>
      <c r="K61" s="173" t="s">
        <v>21</v>
      </c>
      <c r="L61" s="173" t="s">
        <v>20</v>
      </c>
      <c r="M61" s="188">
        <v>450</v>
      </c>
      <c r="N61" s="179" t="s">
        <v>2659</v>
      </c>
      <c r="O61" s="185">
        <v>6300</v>
      </c>
    </row>
    <row r="62" spans="1:15" ht="25.5">
      <c r="A62" s="173">
        <v>51</v>
      </c>
      <c r="B62" s="175" t="s">
        <v>86</v>
      </c>
      <c r="C62" s="175" t="s">
        <v>2660</v>
      </c>
      <c r="D62" s="175" t="s">
        <v>2661</v>
      </c>
      <c r="E62" s="173" t="s">
        <v>2543</v>
      </c>
      <c r="F62" s="173" t="s">
        <v>35</v>
      </c>
      <c r="G62" s="179" t="s">
        <v>2501</v>
      </c>
      <c r="H62" s="179"/>
      <c r="I62" s="174">
        <v>45313</v>
      </c>
      <c r="J62" s="173" t="s">
        <v>2662</v>
      </c>
      <c r="K62" s="173" t="s">
        <v>169</v>
      </c>
      <c r="L62" s="173" t="s">
        <v>20</v>
      </c>
      <c r="M62" s="188">
        <v>12</v>
      </c>
      <c r="N62" s="179" t="s">
        <v>756</v>
      </c>
      <c r="O62" s="185">
        <v>96</v>
      </c>
    </row>
    <row r="63" spans="1:15" ht="25.5">
      <c r="A63" s="173">
        <v>52</v>
      </c>
      <c r="B63" s="175" t="s">
        <v>2663</v>
      </c>
      <c r="C63" s="175" t="s">
        <v>2664</v>
      </c>
      <c r="D63" s="175" t="s">
        <v>2661</v>
      </c>
      <c r="E63" s="173" t="s">
        <v>2543</v>
      </c>
      <c r="F63" s="173" t="s">
        <v>35</v>
      </c>
      <c r="G63" s="179" t="s">
        <v>2501</v>
      </c>
      <c r="H63" s="179"/>
      <c r="I63" s="174">
        <v>45313</v>
      </c>
      <c r="J63" s="173" t="s">
        <v>2662</v>
      </c>
      <c r="K63" s="173" t="s">
        <v>21</v>
      </c>
      <c r="L63" s="173" t="s">
        <v>20</v>
      </c>
      <c r="M63" s="188">
        <v>30</v>
      </c>
      <c r="N63" s="179" t="s">
        <v>2665</v>
      </c>
      <c r="O63" s="185">
        <v>150</v>
      </c>
    </row>
    <row r="64" spans="1:15" ht="25.5">
      <c r="A64" s="173">
        <v>53</v>
      </c>
      <c r="B64" s="175" t="s">
        <v>2666</v>
      </c>
      <c r="C64" s="175" t="s">
        <v>2667</v>
      </c>
      <c r="D64" s="175" t="s">
        <v>2661</v>
      </c>
      <c r="E64" s="173" t="s">
        <v>2543</v>
      </c>
      <c r="F64" s="173" t="s">
        <v>35</v>
      </c>
      <c r="G64" s="179" t="s">
        <v>2501</v>
      </c>
      <c r="H64" s="179"/>
      <c r="I64" s="174">
        <v>45313</v>
      </c>
      <c r="J64" s="173" t="s">
        <v>2662</v>
      </c>
      <c r="K64" s="173" t="s">
        <v>21</v>
      </c>
      <c r="L64" s="173" t="s">
        <v>20</v>
      </c>
      <c r="M64" s="188">
        <v>150</v>
      </c>
      <c r="N64" s="179" t="s">
        <v>2668</v>
      </c>
      <c r="O64" s="185">
        <v>900</v>
      </c>
    </row>
    <row r="65" spans="1:15" ht="25.5">
      <c r="A65" s="173">
        <v>54</v>
      </c>
      <c r="B65" s="175" t="s">
        <v>2669</v>
      </c>
      <c r="C65" s="175" t="s">
        <v>2670</v>
      </c>
      <c r="D65" s="175" t="s">
        <v>2661</v>
      </c>
      <c r="E65" s="173" t="s">
        <v>2543</v>
      </c>
      <c r="F65" s="173" t="s">
        <v>35</v>
      </c>
      <c r="G65" s="179" t="s">
        <v>2501</v>
      </c>
      <c r="H65" s="179"/>
      <c r="I65" s="174">
        <v>45313</v>
      </c>
      <c r="J65" s="173" t="s">
        <v>2662</v>
      </c>
      <c r="K65" s="173" t="s">
        <v>21</v>
      </c>
      <c r="L65" s="173" t="s">
        <v>20</v>
      </c>
      <c r="M65" s="188">
        <v>200</v>
      </c>
      <c r="N65" s="179" t="s">
        <v>2668</v>
      </c>
      <c r="O65" s="185">
        <v>800</v>
      </c>
    </row>
    <row r="66" spans="1:15" ht="38.25">
      <c r="A66" s="173">
        <v>55</v>
      </c>
      <c r="B66" s="175" t="s">
        <v>2671</v>
      </c>
      <c r="C66" s="175" t="s">
        <v>2672</v>
      </c>
      <c r="D66" s="175" t="s">
        <v>2673</v>
      </c>
      <c r="E66" s="173" t="s">
        <v>2543</v>
      </c>
      <c r="F66" s="173" t="s">
        <v>35</v>
      </c>
      <c r="G66" s="179" t="s">
        <v>2501</v>
      </c>
      <c r="H66" s="179"/>
      <c r="I66" s="174">
        <v>45313</v>
      </c>
      <c r="J66" s="173" t="s">
        <v>2662</v>
      </c>
      <c r="K66" s="173" t="s">
        <v>21</v>
      </c>
      <c r="L66" s="173" t="s">
        <v>20</v>
      </c>
      <c r="M66" s="188">
        <v>100</v>
      </c>
      <c r="N66" s="179" t="s">
        <v>2668</v>
      </c>
      <c r="O66" s="185">
        <v>620</v>
      </c>
    </row>
    <row r="67" spans="1:15" ht="38.25">
      <c r="A67" s="173">
        <v>56</v>
      </c>
      <c r="B67" s="175" t="s">
        <v>2674</v>
      </c>
      <c r="C67" s="175" t="s">
        <v>2675</v>
      </c>
      <c r="D67" s="175" t="s">
        <v>2673</v>
      </c>
      <c r="E67" s="173" t="s">
        <v>2543</v>
      </c>
      <c r="F67" s="173" t="s">
        <v>35</v>
      </c>
      <c r="G67" s="179" t="s">
        <v>2501</v>
      </c>
      <c r="H67" s="179"/>
      <c r="I67" s="174">
        <v>45313</v>
      </c>
      <c r="J67" s="173" t="s">
        <v>2662</v>
      </c>
      <c r="K67" s="173" t="s">
        <v>21</v>
      </c>
      <c r="L67" s="173" t="s">
        <v>20</v>
      </c>
      <c r="M67" s="188">
        <v>150</v>
      </c>
      <c r="N67" s="179" t="s">
        <v>2668</v>
      </c>
      <c r="O67" s="185">
        <v>2100</v>
      </c>
    </row>
    <row r="68" spans="1:15" ht="38.25">
      <c r="A68" s="173">
        <v>57</v>
      </c>
      <c r="B68" s="175" t="s">
        <v>2676</v>
      </c>
      <c r="C68" s="175" t="s">
        <v>2677</v>
      </c>
      <c r="D68" s="175" t="s">
        <v>2673</v>
      </c>
      <c r="E68" s="173" t="s">
        <v>2543</v>
      </c>
      <c r="F68" s="173" t="s">
        <v>35</v>
      </c>
      <c r="G68" s="179" t="s">
        <v>2501</v>
      </c>
      <c r="H68" s="179"/>
      <c r="I68" s="174">
        <v>45313</v>
      </c>
      <c r="J68" s="173" t="s">
        <v>2662</v>
      </c>
      <c r="K68" s="173" t="s">
        <v>169</v>
      </c>
      <c r="L68" s="173" t="s">
        <v>20</v>
      </c>
      <c r="M68" s="188">
        <v>24</v>
      </c>
      <c r="N68" s="179" t="s">
        <v>2665</v>
      </c>
      <c r="O68" s="185">
        <v>240</v>
      </c>
    </row>
    <row r="69" spans="1:15" ht="25.5">
      <c r="A69" s="173">
        <v>58</v>
      </c>
      <c r="B69" s="175" t="s">
        <v>2678</v>
      </c>
      <c r="C69" s="175" t="s">
        <v>2679</v>
      </c>
      <c r="D69" s="175" t="s">
        <v>2661</v>
      </c>
      <c r="E69" s="173" t="s">
        <v>2543</v>
      </c>
      <c r="F69" s="173" t="s">
        <v>35</v>
      </c>
      <c r="G69" s="179" t="s">
        <v>2501</v>
      </c>
      <c r="H69" s="179"/>
      <c r="I69" s="174">
        <v>45313</v>
      </c>
      <c r="J69" s="173" t="s">
        <v>2662</v>
      </c>
      <c r="K69" s="173" t="s">
        <v>21</v>
      </c>
      <c r="L69" s="173" t="s">
        <v>20</v>
      </c>
      <c r="M69" s="188">
        <v>50</v>
      </c>
      <c r="N69" s="179" t="s">
        <v>2665</v>
      </c>
      <c r="O69" s="185">
        <v>300</v>
      </c>
    </row>
    <row r="70" spans="1:15" ht="51">
      <c r="A70" s="173">
        <v>59</v>
      </c>
      <c r="B70" s="175" t="s">
        <v>2680</v>
      </c>
      <c r="C70" s="175" t="s">
        <v>2681</v>
      </c>
      <c r="D70" s="175" t="s">
        <v>2673</v>
      </c>
      <c r="E70" s="173" t="s">
        <v>2543</v>
      </c>
      <c r="F70" s="173" t="s">
        <v>35</v>
      </c>
      <c r="G70" s="179" t="s">
        <v>2501</v>
      </c>
      <c r="H70" s="179"/>
      <c r="I70" s="174">
        <v>45313</v>
      </c>
      <c r="J70" s="173" t="s">
        <v>2662</v>
      </c>
      <c r="K70" s="173" t="s">
        <v>169</v>
      </c>
      <c r="L70" s="173" t="s">
        <v>20</v>
      </c>
      <c r="M70" s="188">
        <v>120</v>
      </c>
      <c r="N70" s="179" t="s">
        <v>756</v>
      </c>
      <c r="O70" s="185">
        <v>960</v>
      </c>
    </row>
    <row r="71" spans="1:15" ht="25.5">
      <c r="A71" s="173">
        <v>60</v>
      </c>
      <c r="B71" s="175" t="s">
        <v>2682</v>
      </c>
      <c r="C71" s="175" t="s">
        <v>2683</v>
      </c>
      <c r="D71" s="175" t="s">
        <v>2661</v>
      </c>
      <c r="E71" s="173" t="s">
        <v>2543</v>
      </c>
      <c r="F71" s="173" t="s">
        <v>35</v>
      </c>
      <c r="G71" s="179" t="s">
        <v>2501</v>
      </c>
      <c r="H71" s="179"/>
      <c r="I71" s="174">
        <v>45313</v>
      </c>
      <c r="J71" s="173" t="s">
        <v>2662</v>
      </c>
      <c r="K71" s="173" t="s">
        <v>169</v>
      </c>
      <c r="L71" s="173" t="s">
        <v>20</v>
      </c>
      <c r="M71" s="188">
        <v>1</v>
      </c>
      <c r="N71" s="179" t="s">
        <v>756</v>
      </c>
      <c r="O71" s="185">
        <v>150</v>
      </c>
    </row>
    <row r="72" spans="1:15" ht="38.25">
      <c r="A72" s="173">
        <v>61</v>
      </c>
      <c r="B72" s="175" t="s">
        <v>2684</v>
      </c>
      <c r="C72" s="175" t="s">
        <v>2685</v>
      </c>
      <c r="D72" s="175" t="s">
        <v>2686</v>
      </c>
      <c r="E72" s="173" t="s">
        <v>2543</v>
      </c>
      <c r="F72" s="173" t="s">
        <v>168</v>
      </c>
      <c r="G72" s="179" t="s">
        <v>2501</v>
      </c>
      <c r="H72" s="179"/>
      <c r="I72" s="174">
        <v>45313</v>
      </c>
      <c r="J72" s="173" t="s">
        <v>2662</v>
      </c>
      <c r="K72" s="173" t="s">
        <v>169</v>
      </c>
      <c r="L72" s="173" t="s">
        <v>20</v>
      </c>
      <c r="M72" s="188">
        <v>2</v>
      </c>
      <c r="N72" s="179" t="s">
        <v>756</v>
      </c>
      <c r="O72" s="185">
        <v>200</v>
      </c>
    </row>
    <row r="73" spans="1:15" ht="38.25">
      <c r="A73" s="173">
        <v>62</v>
      </c>
      <c r="B73" s="175" t="s">
        <v>2687</v>
      </c>
      <c r="C73" s="175" t="s">
        <v>2688</v>
      </c>
      <c r="D73" s="175" t="s">
        <v>2686</v>
      </c>
      <c r="E73" s="173" t="s">
        <v>2543</v>
      </c>
      <c r="F73" s="173" t="s">
        <v>168</v>
      </c>
      <c r="G73" s="179" t="s">
        <v>2501</v>
      </c>
      <c r="H73" s="179"/>
      <c r="I73" s="174">
        <v>45313</v>
      </c>
      <c r="J73" s="173" t="s">
        <v>2662</v>
      </c>
      <c r="K73" s="173" t="s">
        <v>169</v>
      </c>
      <c r="L73" s="173" t="s">
        <v>20</v>
      </c>
      <c r="M73" s="188">
        <v>1</v>
      </c>
      <c r="N73" s="179" t="s">
        <v>756</v>
      </c>
      <c r="O73" s="185">
        <v>250</v>
      </c>
    </row>
    <row r="74" spans="1:15">
      <c r="A74" s="176"/>
      <c r="B74" s="177" t="s">
        <v>2689</v>
      </c>
      <c r="C74" s="177" t="s">
        <v>2689</v>
      </c>
      <c r="D74" s="176"/>
      <c r="E74" s="176"/>
      <c r="F74" s="176"/>
      <c r="G74" s="176"/>
      <c r="H74" s="178"/>
      <c r="I74" s="178"/>
      <c r="J74" s="176"/>
      <c r="K74" s="176"/>
      <c r="L74" s="176"/>
      <c r="M74" s="187"/>
      <c r="N74" s="189"/>
      <c r="O74" s="184"/>
    </row>
    <row r="75" spans="1:15" ht="63.75">
      <c r="A75" s="173">
        <v>63</v>
      </c>
      <c r="B75" s="175" t="s">
        <v>2690</v>
      </c>
      <c r="C75" s="175" t="s">
        <v>2691</v>
      </c>
      <c r="D75" s="175" t="s">
        <v>2692</v>
      </c>
      <c r="E75" s="173" t="s">
        <v>25</v>
      </c>
      <c r="F75" s="173" t="s">
        <v>17</v>
      </c>
      <c r="G75" s="173" t="s">
        <v>2501</v>
      </c>
      <c r="H75" s="174"/>
      <c r="I75" s="174">
        <v>45293</v>
      </c>
      <c r="J75" s="173" t="s">
        <v>1360</v>
      </c>
      <c r="K75" s="173" t="s">
        <v>169</v>
      </c>
      <c r="L75" s="173" t="s">
        <v>20</v>
      </c>
      <c r="M75" s="188">
        <v>12</v>
      </c>
      <c r="N75" s="179" t="s">
        <v>2515</v>
      </c>
      <c r="O75" s="185">
        <v>3600</v>
      </c>
    </row>
    <row r="76" spans="1:15" ht="25.5">
      <c r="A76" s="173">
        <v>64</v>
      </c>
      <c r="B76" s="175" t="s">
        <v>2693</v>
      </c>
      <c r="C76" s="175" t="s">
        <v>2694</v>
      </c>
      <c r="D76" s="175" t="s">
        <v>2695</v>
      </c>
      <c r="E76" s="173" t="s">
        <v>2543</v>
      </c>
      <c r="F76" s="173" t="s">
        <v>35</v>
      </c>
      <c r="G76" s="173" t="s">
        <v>2501</v>
      </c>
      <c r="H76" s="179"/>
      <c r="I76" s="174">
        <v>45308</v>
      </c>
      <c r="J76" s="173" t="s">
        <v>2662</v>
      </c>
      <c r="K76" s="173" t="s">
        <v>169</v>
      </c>
      <c r="L76" s="173" t="s">
        <v>20</v>
      </c>
      <c r="M76" s="188">
        <v>3</v>
      </c>
      <c r="N76" s="179" t="s">
        <v>2294</v>
      </c>
      <c r="O76" s="185">
        <v>648</v>
      </c>
    </row>
    <row r="77" spans="1:15" ht="25.5">
      <c r="A77" s="173">
        <v>65</v>
      </c>
      <c r="B77" s="175" t="s">
        <v>2696</v>
      </c>
      <c r="C77" s="175" t="s">
        <v>2697</v>
      </c>
      <c r="D77" s="175" t="s">
        <v>2695</v>
      </c>
      <c r="E77" s="173" t="s">
        <v>2543</v>
      </c>
      <c r="F77" s="173" t="s">
        <v>35</v>
      </c>
      <c r="G77" s="173" t="s">
        <v>2501</v>
      </c>
      <c r="H77" s="179"/>
      <c r="I77" s="174">
        <v>45308</v>
      </c>
      <c r="J77" s="173" t="s">
        <v>2662</v>
      </c>
      <c r="K77" s="173" t="s">
        <v>21</v>
      </c>
      <c r="L77" s="173" t="s">
        <v>20</v>
      </c>
      <c r="M77" s="188">
        <v>5</v>
      </c>
      <c r="N77" s="179" t="s">
        <v>2294</v>
      </c>
      <c r="O77" s="185">
        <v>510</v>
      </c>
    </row>
    <row r="78" spans="1:15" ht="25.5">
      <c r="A78" s="173">
        <v>66</v>
      </c>
      <c r="B78" s="175" t="s">
        <v>2698</v>
      </c>
      <c r="C78" s="175" t="s">
        <v>2699</v>
      </c>
      <c r="D78" s="175" t="s">
        <v>2695</v>
      </c>
      <c r="E78" s="173" t="s">
        <v>2543</v>
      </c>
      <c r="F78" s="173" t="s">
        <v>35</v>
      </c>
      <c r="G78" s="173" t="s">
        <v>2501</v>
      </c>
      <c r="H78" s="179"/>
      <c r="I78" s="174">
        <v>45308</v>
      </c>
      <c r="J78" s="173" t="s">
        <v>2662</v>
      </c>
      <c r="K78" s="173" t="s">
        <v>21</v>
      </c>
      <c r="L78" s="173" t="s">
        <v>20</v>
      </c>
      <c r="M78" s="188">
        <v>24</v>
      </c>
      <c r="N78" s="179" t="s">
        <v>2294</v>
      </c>
      <c r="O78" s="185">
        <v>840</v>
      </c>
    </row>
    <row r="79" spans="1:15" ht="25.5">
      <c r="A79" s="173">
        <v>67</v>
      </c>
      <c r="B79" s="175" t="s">
        <v>2700</v>
      </c>
      <c r="C79" s="175" t="s">
        <v>2701</v>
      </c>
      <c r="D79" s="175" t="s">
        <v>2695</v>
      </c>
      <c r="E79" s="173" t="s">
        <v>2543</v>
      </c>
      <c r="F79" s="173" t="s">
        <v>35</v>
      </c>
      <c r="G79" s="173" t="s">
        <v>2501</v>
      </c>
      <c r="H79" s="179"/>
      <c r="I79" s="174">
        <v>45308</v>
      </c>
      <c r="J79" s="173" t="s">
        <v>2662</v>
      </c>
      <c r="K79" s="173" t="s">
        <v>21</v>
      </c>
      <c r="L79" s="173" t="s">
        <v>20</v>
      </c>
      <c r="M79" s="188">
        <v>12</v>
      </c>
      <c r="N79" s="179" t="s">
        <v>813</v>
      </c>
      <c r="O79" s="185">
        <v>180</v>
      </c>
    </row>
    <row r="80" spans="1:15" ht="25.5">
      <c r="A80" s="173">
        <v>68</v>
      </c>
      <c r="B80" s="175" t="s">
        <v>1282</v>
      </c>
      <c r="C80" s="175" t="s">
        <v>2702</v>
      </c>
      <c r="D80" s="175" t="s">
        <v>2695</v>
      </c>
      <c r="E80" s="173" t="s">
        <v>2543</v>
      </c>
      <c r="F80" s="173" t="s">
        <v>35</v>
      </c>
      <c r="G80" s="173" t="s">
        <v>2501</v>
      </c>
      <c r="H80" s="179"/>
      <c r="I80" s="174">
        <v>45308</v>
      </c>
      <c r="J80" s="173" t="s">
        <v>2662</v>
      </c>
      <c r="K80" s="173" t="s">
        <v>169</v>
      </c>
      <c r="L80" s="173" t="s">
        <v>20</v>
      </c>
      <c r="M80" s="188">
        <v>2</v>
      </c>
      <c r="N80" s="179" t="s">
        <v>2703</v>
      </c>
      <c r="O80" s="185">
        <v>160</v>
      </c>
    </row>
    <row r="81" spans="1:15" ht="25.5">
      <c r="A81" s="173">
        <v>69</v>
      </c>
      <c r="B81" s="175" t="s">
        <v>2704</v>
      </c>
      <c r="C81" s="175" t="s">
        <v>2705</v>
      </c>
      <c r="D81" s="175" t="s">
        <v>2695</v>
      </c>
      <c r="E81" s="173" t="s">
        <v>2543</v>
      </c>
      <c r="F81" s="173" t="s">
        <v>35</v>
      </c>
      <c r="G81" s="173" t="s">
        <v>2501</v>
      </c>
      <c r="H81" s="179"/>
      <c r="I81" s="174">
        <v>45308</v>
      </c>
      <c r="J81" s="173" t="s">
        <v>2662</v>
      </c>
      <c r="K81" s="173" t="s">
        <v>21</v>
      </c>
      <c r="L81" s="173" t="s">
        <v>20</v>
      </c>
      <c r="M81" s="188">
        <v>12</v>
      </c>
      <c r="N81" s="179" t="s">
        <v>2703</v>
      </c>
      <c r="O81" s="185">
        <v>72</v>
      </c>
    </row>
    <row r="82" spans="1:15" ht="25.5">
      <c r="A82" s="173">
        <v>70</v>
      </c>
      <c r="B82" s="175" t="s">
        <v>2706</v>
      </c>
      <c r="C82" s="175" t="s">
        <v>2707</v>
      </c>
      <c r="D82" s="175" t="s">
        <v>2695</v>
      </c>
      <c r="E82" s="173" t="s">
        <v>2543</v>
      </c>
      <c r="F82" s="173" t="s">
        <v>35</v>
      </c>
      <c r="G82" s="173" t="s">
        <v>2501</v>
      </c>
      <c r="H82" s="179"/>
      <c r="I82" s="174">
        <v>45308</v>
      </c>
      <c r="J82" s="173" t="s">
        <v>2662</v>
      </c>
      <c r="K82" s="173" t="s">
        <v>21</v>
      </c>
      <c r="L82" s="173" t="s">
        <v>20</v>
      </c>
      <c r="M82" s="188">
        <v>52</v>
      </c>
      <c r="N82" s="179" t="s">
        <v>2559</v>
      </c>
      <c r="O82" s="185">
        <v>624</v>
      </c>
    </row>
    <row r="83" spans="1:15" ht="25.5">
      <c r="A83" s="173">
        <v>71</v>
      </c>
      <c r="B83" s="182" t="s">
        <v>2708</v>
      </c>
      <c r="C83" s="175" t="s">
        <v>2709</v>
      </c>
      <c r="D83" s="175" t="s">
        <v>2695</v>
      </c>
      <c r="E83" s="173" t="s">
        <v>2543</v>
      </c>
      <c r="F83" s="173" t="s">
        <v>35</v>
      </c>
      <c r="G83" s="173" t="s">
        <v>2501</v>
      </c>
      <c r="H83" s="179"/>
      <c r="I83" s="174">
        <v>45308</v>
      </c>
      <c r="J83" s="173" t="s">
        <v>2662</v>
      </c>
      <c r="K83" s="173" t="s">
        <v>21</v>
      </c>
      <c r="L83" s="173" t="s">
        <v>20</v>
      </c>
      <c r="M83" s="188">
        <v>2</v>
      </c>
      <c r="N83" s="179" t="s">
        <v>813</v>
      </c>
      <c r="O83" s="185">
        <v>116</v>
      </c>
    </row>
    <row r="84" spans="1:15" ht="25.5">
      <c r="A84" s="173">
        <v>72</v>
      </c>
      <c r="B84" s="175" t="s">
        <v>2710</v>
      </c>
      <c r="C84" s="175" t="s">
        <v>2711</v>
      </c>
      <c r="D84" s="175" t="s">
        <v>2695</v>
      </c>
      <c r="E84" s="173" t="s">
        <v>2543</v>
      </c>
      <c r="F84" s="173" t="s">
        <v>35</v>
      </c>
      <c r="G84" s="173" t="s">
        <v>2501</v>
      </c>
      <c r="H84" s="179"/>
      <c r="I84" s="174">
        <v>45308</v>
      </c>
      <c r="J84" s="173" t="s">
        <v>2662</v>
      </c>
      <c r="K84" s="173" t="s">
        <v>169</v>
      </c>
      <c r="L84" s="173" t="s">
        <v>20</v>
      </c>
      <c r="M84" s="188">
        <v>20</v>
      </c>
      <c r="N84" s="179" t="s">
        <v>756</v>
      </c>
      <c r="O84" s="185">
        <v>3560</v>
      </c>
    </row>
    <row r="85" spans="1:15" ht="25.5">
      <c r="A85" s="173">
        <v>73</v>
      </c>
      <c r="B85" s="175" t="s">
        <v>2712</v>
      </c>
      <c r="C85" s="175" t="s">
        <v>2713</v>
      </c>
      <c r="D85" s="175" t="s">
        <v>2695</v>
      </c>
      <c r="E85" s="173" t="s">
        <v>2543</v>
      </c>
      <c r="F85" s="173" t="s">
        <v>35</v>
      </c>
      <c r="G85" s="173" t="s">
        <v>2501</v>
      </c>
      <c r="H85" s="179"/>
      <c r="I85" s="174">
        <v>45308</v>
      </c>
      <c r="J85" s="173" t="s">
        <v>2662</v>
      </c>
      <c r="K85" s="173" t="s">
        <v>169</v>
      </c>
      <c r="L85" s="173" t="s">
        <v>20</v>
      </c>
      <c r="M85" s="188">
        <v>3</v>
      </c>
      <c r="N85" s="179" t="s">
        <v>756</v>
      </c>
      <c r="O85" s="185">
        <v>102</v>
      </c>
    </row>
    <row r="86" spans="1:15" ht="25.5">
      <c r="A86" s="173">
        <v>74</v>
      </c>
      <c r="B86" s="175" t="s">
        <v>2714</v>
      </c>
      <c r="C86" s="175" t="s">
        <v>2715</v>
      </c>
      <c r="D86" s="175" t="s">
        <v>2695</v>
      </c>
      <c r="E86" s="173" t="s">
        <v>2543</v>
      </c>
      <c r="F86" s="173" t="s">
        <v>35</v>
      </c>
      <c r="G86" s="173" t="s">
        <v>2501</v>
      </c>
      <c r="H86" s="179"/>
      <c r="I86" s="174">
        <v>45308</v>
      </c>
      <c r="J86" s="173" t="s">
        <v>2662</v>
      </c>
      <c r="K86" s="173" t="s">
        <v>21</v>
      </c>
      <c r="L86" s="173" t="s">
        <v>20</v>
      </c>
      <c r="M86" s="188">
        <v>35</v>
      </c>
      <c r="N86" s="179" t="s">
        <v>813</v>
      </c>
      <c r="O86" s="185">
        <v>1295</v>
      </c>
    </row>
    <row r="87" spans="1:15" ht="25.5">
      <c r="A87" s="173">
        <v>75</v>
      </c>
      <c r="B87" s="175" t="s">
        <v>2716</v>
      </c>
      <c r="C87" s="175" t="s">
        <v>2717</v>
      </c>
      <c r="D87" s="175" t="s">
        <v>2695</v>
      </c>
      <c r="E87" s="173" t="s">
        <v>2543</v>
      </c>
      <c r="F87" s="173" t="s">
        <v>35</v>
      </c>
      <c r="G87" s="173" t="s">
        <v>2501</v>
      </c>
      <c r="H87" s="179"/>
      <c r="I87" s="174">
        <v>45308</v>
      </c>
      <c r="J87" s="173" t="s">
        <v>2662</v>
      </c>
      <c r="K87" s="173" t="s">
        <v>169</v>
      </c>
      <c r="L87" s="173" t="s">
        <v>20</v>
      </c>
      <c r="M87" s="188">
        <v>3</v>
      </c>
      <c r="N87" s="179" t="s">
        <v>2343</v>
      </c>
      <c r="O87" s="185">
        <v>54</v>
      </c>
    </row>
    <row r="88" spans="1:15" ht="25.5">
      <c r="A88" s="173">
        <v>76</v>
      </c>
      <c r="B88" s="175" t="s">
        <v>2718</v>
      </c>
      <c r="C88" s="175" t="s">
        <v>2719</v>
      </c>
      <c r="D88" s="175" t="s">
        <v>2695</v>
      </c>
      <c r="E88" s="173" t="s">
        <v>2543</v>
      </c>
      <c r="F88" s="173" t="s">
        <v>35</v>
      </c>
      <c r="G88" s="173" t="s">
        <v>2501</v>
      </c>
      <c r="H88" s="179"/>
      <c r="I88" s="174">
        <v>45308</v>
      </c>
      <c r="J88" s="173" t="s">
        <v>2662</v>
      </c>
      <c r="K88" s="173" t="s">
        <v>21</v>
      </c>
      <c r="L88" s="173" t="s">
        <v>20</v>
      </c>
      <c r="M88" s="188">
        <v>30</v>
      </c>
      <c r="N88" s="179" t="s">
        <v>813</v>
      </c>
      <c r="O88" s="185">
        <v>450</v>
      </c>
    </row>
    <row r="89" spans="1:15" ht="25.5">
      <c r="A89" s="173">
        <v>77</v>
      </c>
      <c r="B89" s="175" t="s">
        <v>2720</v>
      </c>
      <c r="C89" s="175" t="s">
        <v>2721</v>
      </c>
      <c r="D89" s="175" t="s">
        <v>2695</v>
      </c>
      <c r="E89" s="173" t="s">
        <v>2543</v>
      </c>
      <c r="F89" s="173" t="s">
        <v>35</v>
      </c>
      <c r="G89" s="173" t="s">
        <v>2501</v>
      </c>
      <c r="H89" s="179"/>
      <c r="I89" s="174">
        <v>45308</v>
      </c>
      <c r="J89" s="173" t="s">
        <v>2662</v>
      </c>
      <c r="K89" s="173" t="s">
        <v>169</v>
      </c>
      <c r="L89" s="173" t="s">
        <v>20</v>
      </c>
      <c r="M89" s="188">
        <v>12</v>
      </c>
      <c r="N89" s="179" t="s">
        <v>756</v>
      </c>
      <c r="O89" s="185">
        <v>72</v>
      </c>
    </row>
    <row r="90" spans="1:15" ht="25.5">
      <c r="A90" s="173">
        <v>78</v>
      </c>
      <c r="B90" s="175" t="s">
        <v>2722</v>
      </c>
      <c r="C90" s="175" t="s">
        <v>2723</v>
      </c>
      <c r="D90" s="175" t="s">
        <v>2695</v>
      </c>
      <c r="E90" s="173" t="s">
        <v>2543</v>
      </c>
      <c r="F90" s="173" t="s">
        <v>35</v>
      </c>
      <c r="G90" s="173" t="s">
        <v>2501</v>
      </c>
      <c r="H90" s="179"/>
      <c r="I90" s="174">
        <v>45308</v>
      </c>
      <c r="J90" s="173" t="s">
        <v>2662</v>
      </c>
      <c r="K90" s="173" t="s">
        <v>21</v>
      </c>
      <c r="L90" s="173" t="s">
        <v>20</v>
      </c>
      <c r="M90" s="188">
        <v>30</v>
      </c>
      <c r="N90" s="179" t="s">
        <v>756</v>
      </c>
      <c r="O90" s="185">
        <v>570</v>
      </c>
    </row>
    <row r="91" spans="1:15" ht="25.5">
      <c r="A91" s="173">
        <v>79</v>
      </c>
      <c r="B91" s="175" t="s">
        <v>2724</v>
      </c>
      <c r="C91" s="175" t="s">
        <v>2725</v>
      </c>
      <c r="D91" s="175" t="s">
        <v>2695</v>
      </c>
      <c r="E91" s="173" t="s">
        <v>2543</v>
      </c>
      <c r="F91" s="173" t="s">
        <v>35</v>
      </c>
      <c r="G91" s="173" t="s">
        <v>2501</v>
      </c>
      <c r="H91" s="179"/>
      <c r="I91" s="174">
        <v>45308</v>
      </c>
      <c r="J91" s="173" t="s">
        <v>2662</v>
      </c>
      <c r="K91" s="173" t="s">
        <v>21</v>
      </c>
      <c r="L91" s="173" t="s">
        <v>20</v>
      </c>
      <c r="M91" s="188">
        <v>30</v>
      </c>
      <c r="N91" s="179" t="s">
        <v>756</v>
      </c>
      <c r="O91" s="185">
        <v>210</v>
      </c>
    </row>
    <row r="92" spans="1:15" ht="25.5">
      <c r="A92" s="173">
        <v>80</v>
      </c>
      <c r="B92" s="175" t="s">
        <v>2726</v>
      </c>
      <c r="C92" s="175" t="s">
        <v>2727</v>
      </c>
      <c r="D92" s="175" t="s">
        <v>2695</v>
      </c>
      <c r="E92" s="173" t="s">
        <v>2543</v>
      </c>
      <c r="F92" s="173" t="s">
        <v>35</v>
      </c>
      <c r="G92" s="173" t="s">
        <v>2501</v>
      </c>
      <c r="H92" s="179"/>
      <c r="I92" s="174">
        <v>45308</v>
      </c>
      <c r="J92" s="173" t="s">
        <v>2662</v>
      </c>
      <c r="K92" s="173" t="s">
        <v>21</v>
      </c>
      <c r="L92" s="173" t="s">
        <v>20</v>
      </c>
      <c r="M92" s="188">
        <v>24</v>
      </c>
      <c r="N92" s="179" t="s">
        <v>756</v>
      </c>
      <c r="O92" s="185">
        <v>28.8</v>
      </c>
    </row>
    <row r="93" spans="1:15" ht="25.5">
      <c r="A93" s="173">
        <v>81</v>
      </c>
      <c r="B93" s="175" t="s">
        <v>2728</v>
      </c>
      <c r="C93" s="175" t="s">
        <v>2729</v>
      </c>
      <c r="D93" s="175" t="s">
        <v>2695</v>
      </c>
      <c r="E93" s="173" t="s">
        <v>2543</v>
      </c>
      <c r="F93" s="173" t="s">
        <v>35</v>
      </c>
      <c r="G93" s="173" t="s">
        <v>2501</v>
      </c>
      <c r="H93" s="179"/>
      <c r="I93" s="174">
        <v>45308</v>
      </c>
      <c r="J93" s="173" t="s">
        <v>2662</v>
      </c>
      <c r="K93" s="173" t="s">
        <v>21</v>
      </c>
      <c r="L93" s="173" t="s">
        <v>20</v>
      </c>
      <c r="M93" s="188">
        <v>12</v>
      </c>
      <c r="N93" s="179" t="s">
        <v>2343</v>
      </c>
      <c r="O93" s="185">
        <v>324</v>
      </c>
    </row>
    <row r="94" spans="1:15" ht="25.5">
      <c r="A94" s="173">
        <v>82</v>
      </c>
      <c r="B94" s="175" t="s">
        <v>1314</v>
      </c>
      <c r="C94" s="175" t="s">
        <v>2730</v>
      </c>
      <c r="D94" s="175" t="s">
        <v>2695</v>
      </c>
      <c r="E94" s="173" t="s">
        <v>2543</v>
      </c>
      <c r="F94" s="173" t="s">
        <v>35</v>
      </c>
      <c r="G94" s="173" t="s">
        <v>2501</v>
      </c>
      <c r="H94" s="179"/>
      <c r="I94" s="174">
        <v>45308</v>
      </c>
      <c r="J94" s="173" t="s">
        <v>2662</v>
      </c>
      <c r="K94" s="173" t="s">
        <v>169</v>
      </c>
      <c r="L94" s="173" t="s">
        <v>20</v>
      </c>
      <c r="M94" s="188">
        <v>5</v>
      </c>
      <c r="N94" s="179" t="s">
        <v>756</v>
      </c>
      <c r="O94" s="185">
        <v>55</v>
      </c>
    </row>
    <row r="95" spans="1:15" ht="25.5">
      <c r="A95" s="173">
        <v>83</v>
      </c>
      <c r="B95" s="175" t="s">
        <v>2731</v>
      </c>
      <c r="C95" s="175" t="s">
        <v>2732</v>
      </c>
      <c r="D95" s="175" t="s">
        <v>2695</v>
      </c>
      <c r="E95" s="173" t="s">
        <v>2543</v>
      </c>
      <c r="F95" s="173" t="s">
        <v>35</v>
      </c>
      <c r="G95" s="173" t="s">
        <v>2501</v>
      </c>
      <c r="H95" s="179"/>
      <c r="I95" s="174">
        <v>45308</v>
      </c>
      <c r="J95" s="173" t="s">
        <v>2662</v>
      </c>
      <c r="K95" s="173" t="s">
        <v>169</v>
      </c>
      <c r="L95" s="173" t="s">
        <v>20</v>
      </c>
      <c r="M95" s="188">
        <v>2</v>
      </c>
      <c r="N95" s="179" t="s">
        <v>756</v>
      </c>
      <c r="O95" s="185">
        <v>36</v>
      </c>
    </row>
    <row r="96" spans="1:15" ht="25.5">
      <c r="A96" s="173">
        <v>84</v>
      </c>
      <c r="B96" s="175" t="s">
        <v>1323</v>
      </c>
      <c r="C96" s="175" t="s">
        <v>2733</v>
      </c>
      <c r="D96" s="175" t="s">
        <v>2695</v>
      </c>
      <c r="E96" s="173" t="s">
        <v>2543</v>
      </c>
      <c r="F96" s="173" t="s">
        <v>35</v>
      </c>
      <c r="G96" s="173" t="s">
        <v>2501</v>
      </c>
      <c r="H96" s="179"/>
      <c r="I96" s="174">
        <v>45308</v>
      </c>
      <c r="J96" s="173" t="s">
        <v>2662</v>
      </c>
      <c r="K96" s="173" t="s">
        <v>169</v>
      </c>
      <c r="L96" s="173" t="s">
        <v>20</v>
      </c>
      <c r="M96" s="188">
        <v>36</v>
      </c>
      <c r="N96" s="179" t="s">
        <v>756</v>
      </c>
      <c r="O96" s="185">
        <v>648</v>
      </c>
    </row>
    <row r="97" spans="1:15" ht="25.5">
      <c r="A97" s="173">
        <v>85</v>
      </c>
      <c r="B97" s="175" t="s">
        <v>2734</v>
      </c>
      <c r="C97" s="175" t="s">
        <v>2735</v>
      </c>
      <c r="D97" s="175" t="s">
        <v>2695</v>
      </c>
      <c r="E97" s="173" t="s">
        <v>2543</v>
      </c>
      <c r="F97" s="173" t="s">
        <v>35</v>
      </c>
      <c r="G97" s="173" t="s">
        <v>2501</v>
      </c>
      <c r="H97" s="179"/>
      <c r="I97" s="174">
        <v>45308</v>
      </c>
      <c r="J97" s="173" t="s">
        <v>2662</v>
      </c>
      <c r="K97" s="173" t="s">
        <v>21</v>
      </c>
      <c r="L97" s="173" t="s">
        <v>20</v>
      </c>
      <c r="M97" s="188">
        <v>120</v>
      </c>
      <c r="N97" s="179" t="s">
        <v>756</v>
      </c>
      <c r="O97" s="185">
        <v>1800</v>
      </c>
    </row>
    <row r="98" spans="1:15" ht="25.5">
      <c r="A98" s="173">
        <v>86</v>
      </c>
      <c r="B98" s="175" t="s">
        <v>2736</v>
      </c>
      <c r="C98" s="175" t="s">
        <v>2737</v>
      </c>
      <c r="D98" s="175" t="s">
        <v>2695</v>
      </c>
      <c r="E98" s="173" t="s">
        <v>2543</v>
      </c>
      <c r="F98" s="173" t="s">
        <v>35</v>
      </c>
      <c r="G98" s="173" t="s">
        <v>2501</v>
      </c>
      <c r="H98" s="179"/>
      <c r="I98" s="174">
        <v>45308</v>
      </c>
      <c r="J98" s="173" t="s">
        <v>2662</v>
      </c>
      <c r="K98" s="173" t="s">
        <v>21</v>
      </c>
      <c r="L98" s="173" t="s">
        <v>20</v>
      </c>
      <c r="M98" s="188">
        <v>200</v>
      </c>
      <c r="N98" s="179" t="s">
        <v>2343</v>
      </c>
      <c r="O98" s="185">
        <v>4600</v>
      </c>
    </row>
    <row r="99" spans="1:15" ht="25.5">
      <c r="A99" s="173">
        <v>87</v>
      </c>
      <c r="B99" s="175" t="s">
        <v>2738</v>
      </c>
      <c r="C99" s="175" t="s">
        <v>2738</v>
      </c>
      <c r="D99" s="175" t="s">
        <v>2695</v>
      </c>
      <c r="E99" s="173" t="s">
        <v>2543</v>
      </c>
      <c r="F99" s="173" t="s">
        <v>35</v>
      </c>
      <c r="G99" s="173" t="s">
        <v>2501</v>
      </c>
      <c r="H99" s="179"/>
      <c r="I99" s="174">
        <v>45308</v>
      </c>
      <c r="J99" s="173" t="s">
        <v>2662</v>
      </c>
      <c r="K99" s="173" t="s">
        <v>21</v>
      </c>
      <c r="L99" s="173" t="s">
        <v>20</v>
      </c>
      <c r="M99" s="188">
        <v>2</v>
      </c>
      <c r="N99" s="179" t="s">
        <v>681</v>
      </c>
      <c r="O99" s="185">
        <v>308</v>
      </c>
    </row>
    <row r="100" spans="1:15" ht="25.5">
      <c r="A100" s="173">
        <v>88</v>
      </c>
      <c r="B100" s="175" t="s">
        <v>1327</v>
      </c>
      <c r="C100" s="175" t="s">
        <v>2739</v>
      </c>
      <c r="D100" s="175" t="s">
        <v>2695</v>
      </c>
      <c r="E100" s="173" t="s">
        <v>2543</v>
      </c>
      <c r="F100" s="173" t="s">
        <v>35</v>
      </c>
      <c r="G100" s="173" t="s">
        <v>2501</v>
      </c>
      <c r="H100" s="179"/>
      <c r="I100" s="174">
        <v>45308</v>
      </c>
      <c r="J100" s="173" t="s">
        <v>2662</v>
      </c>
      <c r="K100" s="173" t="s">
        <v>21</v>
      </c>
      <c r="L100" s="173" t="s">
        <v>20</v>
      </c>
      <c r="M100" s="188">
        <v>1000</v>
      </c>
      <c r="N100" s="179" t="s">
        <v>2740</v>
      </c>
      <c r="O100" s="185">
        <v>2000</v>
      </c>
    </row>
    <row r="101" spans="1:15" ht="25.5">
      <c r="A101" s="173">
        <v>89</v>
      </c>
      <c r="B101" s="175" t="s">
        <v>2741</v>
      </c>
      <c r="C101" s="175" t="s">
        <v>2742</v>
      </c>
      <c r="D101" s="175" t="s">
        <v>2695</v>
      </c>
      <c r="E101" s="173" t="s">
        <v>2543</v>
      </c>
      <c r="F101" s="173" t="s">
        <v>35</v>
      </c>
      <c r="G101" s="173" t="s">
        <v>2501</v>
      </c>
      <c r="H101" s="179"/>
      <c r="I101" s="174">
        <v>45308</v>
      </c>
      <c r="J101" s="173" t="s">
        <v>2662</v>
      </c>
      <c r="K101" s="173" t="s">
        <v>169</v>
      </c>
      <c r="L101" s="173" t="s">
        <v>20</v>
      </c>
      <c r="M101" s="188">
        <v>2</v>
      </c>
      <c r="N101" s="179" t="s">
        <v>756</v>
      </c>
      <c r="O101" s="185">
        <v>8</v>
      </c>
    </row>
    <row r="102" spans="1:15" ht="25.5">
      <c r="A102" s="173">
        <v>90</v>
      </c>
      <c r="B102" s="175" t="s">
        <v>2743</v>
      </c>
      <c r="C102" s="175" t="s">
        <v>2744</v>
      </c>
      <c r="D102" s="175" t="s">
        <v>2695</v>
      </c>
      <c r="E102" s="173" t="s">
        <v>2543</v>
      </c>
      <c r="F102" s="173" t="s">
        <v>35</v>
      </c>
      <c r="G102" s="173" t="s">
        <v>2501</v>
      </c>
      <c r="H102" s="179"/>
      <c r="I102" s="174">
        <v>45308</v>
      </c>
      <c r="J102" s="173" t="s">
        <v>2662</v>
      </c>
      <c r="K102" s="173" t="s">
        <v>21</v>
      </c>
      <c r="L102" s="173" t="s">
        <v>20</v>
      </c>
      <c r="M102" s="188">
        <v>4</v>
      </c>
      <c r="N102" s="179" t="s">
        <v>756</v>
      </c>
      <c r="O102" s="185">
        <v>24</v>
      </c>
    </row>
    <row r="103" spans="1:15" ht="25.5">
      <c r="A103" s="173">
        <v>91</v>
      </c>
      <c r="B103" s="175" t="s">
        <v>1352</v>
      </c>
      <c r="C103" s="175" t="s">
        <v>2745</v>
      </c>
      <c r="D103" s="175" t="s">
        <v>2695</v>
      </c>
      <c r="E103" s="173" t="s">
        <v>2543</v>
      </c>
      <c r="F103" s="173" t="s">
        <v>35</v>
      </c>
      <c r="G103" s="173" t="s">
        <v>2501</v>
      </c>
      <c r="H103" s="179"/>
      <c r="I103" s="174">
        <v>45308</v>
      </c>
      <c r="J103" s="173" t="s">
        <v>2662</v>
      </c>
      <c r="K103" s="173" t="s">
        <v>169</v>
      </c>
      <c r="L103" s="173" t="s">
        <v>20</v>
      </c>
      <c r="M103" s="188">
        <v>2</v>
      </c>
      <c r="N103" s="179" t="s">
        <v>756</v>
      </c>
      <c r="O103" s="185">
        <v>42</v>
      </c>
    </row>
    <row r="104" spans="1:15" ht="25.5">
      <c r="A104" s="173">
        <v>92</v>
      </c>
      <c r="B104" s="175" t="s">
        <v>2746</v>
      </c>
      <c r="C104" s="175" t="s">
        <v>2747</v>
      </c>
      <c r="D104" s="175" t="s">
        <v>2695</v>
      </c>
      <c r="E104" s="173" t="s">
        <v>2543</v>
      </c>
      <c r="F104" s="173" t="s">
        <v>35</v>
      </c>
      <c r="G104" s="173" t="s">
        <v>2501</v>
      </c>
      <c r="H104" s="179"/>
      <c r="I104" s="174">
        <v>45308</v>
      </c>
      <c r="J104" s="173" t="s">
        <v>2662</v>
      </c>
      <c r="K104" s="173" t="s">
        <v>169</v>
      </c>
      <c r="L104" s="173" t="s">
        <v>20</v>
      </c>
      <c r="M104" s="188">
        <v>2</v>
      </c>
      <c r="N104" s="179" t="s">
        <v>756</v>
      </c>
      <c r="O104" s="185">
        <v>24</v>
      </c>
    </row>
    <row r="105" spans="1:15" ht="25.5">
      <c r="A105" s="173">
        <v>93</v>
      </c>
      <c r="B105" s="175" t="s">
        <v>2748</v>
      </c>
      <c r="C105" s="175" t="s">
        <v>2749</v>
      </c>
      <c r="D105" s="175" t="s">
        <v>2695</v>
      </c>
      <c r="E105" s="173" t="s">
        <v>2543</v>
      </c>
      <c r="F105" s="173" t="s">
        <v>35</v>
      </c>
      <c r="G105" s="173" t="s">
        <v>2501</v>
      </c>
      <c r="H105" s="179"/>
      <c r="I105" s="174">
        <v>45308</v>
      </c>
      <c r="J105" s="173" t="s">
        <v>2662</v>
      </c>
      <c r="K105" s="173" t="s">
        <v>169</v>
      </c>
      <c r="L105" s="173" t="s">
        <v>20</v>
      </c>
      <c r="M105" s="188">
        <v>4</v>
      </c>
      <c r="N105" s="179" t="s">
        <v>756</v>
      </c>
      <c r="O105" s="185">
        <v>16</v>
      </c>
    </row>
    <row r="106" spans="1:15" ht="25.5">
      <c r="A106" s="173">
        <v>94</v>
      </c>
      <c r="B106" s="175" t="s">
        <v>1305</v>
      </c>
      <c r="C106" s="175" t="s">
        <v>2750</v>
      </c>
      <c r="D106" s="175" t="s">
        <v>2695</v>
      </c>
      <c r="E106" s="173" t="s">
        <v>2543</v>
      </c>
      <c r="F106" s="173" t="s">
        <v>35</v>
      </c>
      <c r="G106" s="173" t="s">
        <v>2501</v>
      </c>
      <c r="H106" s="179"/>
      <c r="I106" s="174">
        <v>45308</v>
      </c>
      <c r="J106" s="173" t="s">
        <v>2662</v>
      </c>
      <c r="K106" s="173" t="s">
        <v>169</v>
      </c>
      <c r="L106" s="173" t="s">
        <v>20</v>
      </c>
      <c r="M106" s="188">
        <v>1</v>
      </c>
      <c r="N106" s="179" t="s">
        <v>813</v>
      </c>
      <c r="O106" s="185">
        <v>35</v>
      </c>
    </row>
    <row r="107" spans="1:15" ht="25.5">
      <c r="A107" s="173">
        <v>95</v>
      </c>
      <c r="B107" s="175" t="s">
        <v>2751</v>
      </c>
      <c r="C107" s="175" t="s">
        <v>2752</v>
      </c>
      <c r="D107" s="175" t="s">
        <v>2695</v>
      </c>
      <c r="E107" s="173" t="s">
        <v>2543</v>
      </c>
      <c r="F107" s="173" t="s">
        <v>35</v>
      </c>
      <c r="G107" s="173" t="s">
        <v>2501</v>
      </c>
      <c r="H107" s="179"/>
      <c r="I107" s="174">
        <v>45308</v>
      </c>
      <c r="J107" s="173" t="s">
        <v>2662</v>
      </c>
      <c r="K107" s="173" t="s">
        <v>169</v>
      </c>
      <c r="L107" s="173" t="s">
        <v>20</v>
      </c>
      <c r="M107" s="188">
        <v>2</v>
      </c>
      <c r="N107" s="179" t="s">
        <v>756</v>
      </c>
      <c r="O107" s="185">
        <v>100</v>
      </c>
    </row>
    <row r="108" spans="1:15">
      <c r="A108" s="176"/>
      <c r="B108" s="177" t="s">
        <v>599</v>
      </c>
      <c r="C108" s="177" t="s">
        <v>599</v>
      </c>
      <c r="D108" s="176"/>
      <c r="E108" s="176"/>
      <c r="F108" s="176"/>
      <c r="G108" s="176"/>
      <c r="H108" s="178"/>
      <c r="I108" s="178"/>
      <c r="J108" s="176"/>
      <c r="K108" s="176"/>
      <c r="L108" s="176"/>
      <c r="M108" s="187"/>
      <c r="N108" s="189"/>
      <c r="O108" s="184"/>
    </row>
    <row r="109" spans="1:15" ht="25.5">
      <c r="A109" s="173">
        <v>96</v>
      </c>
      <c r="B109" s="175" t="s">
        <v>2753</v>
      </c>
      <c r="C109" s="175" t="s">
        <v>2754</v>
      </c>
      <c r="D109" s="175" t="s">
        <v>2755</v>
      </c>
      <c r="E109" s="173" t="s">
        <v>2543</v>
      </c>
      <c r="F109" s="173" t="s">
        <v>35</v>
      </c>
      <c r="G109" s="173" t="s">
        <v>2501</v>
      </c>
      <c r="H109" s="179"/>
      <c r="I109" s="174">
        <v>45327</v>
      </c>
      <c r="J109" s="173" t="s">
        <v>2662</v>
      </c>
      <c r="K109" s="173" t="s">
        <v>21</v>
      </c>
      <c r="L109" s="173" t="s">
        <v>20</v>
      </c>
      <c r="M109" s="188">
        <v>200</v>
      </c>
      <c r="N109" s="179" t="s">
        <v>756</v>
      </c>
      <c r="O109" s="185">
        <v>256</v>
      </c>
    </row>
    <row r="110" spans="1:15" ht="25.5">
      <c r="A110" s="173">
        <v>97</v>
      </c>
      <c r="B110" s="175" t="s">
        <v>2756</v>
      </c>
      <c r="C110" s="175" t="s">
        <v>2757</v>
      </c>
      <c r="D110" s="175" t="s">
        <v>2755</v>
      </c>
      <c r="E110" s="173" t="s">
        <v>2543</v>
      </c>
      <c r="F110" s="173" t="s">
        <v>35</v>
      </c>
      <c r="G110" s="173" t="s">
        <v>2501</v>
      </c>
      <c r="H110" s="179"/>
      <c r="I110" s="174">
        <v>45327</v>
      </c>
      <c r="J110" s="173" t="s">
        <v>2662</v>
      </c>
      <c r="K110" s="173" t="s">
        <v>169</v>
      </c>
      <c r="L110" s="173" t="s">
        <v>20</v>
      </c>
      <c r="M110" s="188">
        <v>100</v>
      </c>
      <c r="N110" s="179" t="s">
        <v>756</v>
      </c>
      <c r="O110" s="185">
        <v>128</v>
      </c>
    </row>
    <row r="111" spans="1:15" ht="25.5">
      <c r="A111" s="173">
        <v>98</v>
      </c>
      <c r="B111" s="175" t="s">
        <v>2758</v>
      </c>
      <c r="C111" s="175" t="s">
        <v>2759</v>
      </c>
      <c r="D111" s="175" t="s">
        <v>2755</v>
      </c>
      <c r="E111" s="173" t="s">
        <v>2543</v>
      </c>
      <c r="F111" s="173" t="s">
        <v>35</v>
      </c>
      <c r="G111" s="173" t="s">
        <v>2501</v>
      </c>
      <c r="H111" s="179"/>
      <c r="I111" s="174">
        <v>45327</v>
      </c>
      <c r="J111" s="173" t="s">
        <v>2662</v>
      </c>
      <c r="K111" s="173" t="s">
        <v>169</v>
      </c>
      <c r="L111" s="173" t="s">
        <v>20</v>
      </c>
      <c r="M111" s="188">
        <v>150</v>
      </c>
      <c r="N111" s="179" t="s">
        <v>756</v>
      </c>
      <c r="O111" s="185">
        <v>192</v>
      </c>
    </row>
    <row r="112" spans="1:15" ht="25.5">
      <c r="A112" s="173">
        <v>99</v>
      </c>
      <c r="B112" s="175" t="s">
        <v>2760</v>
      </c>
      <c r="C112" s="175" t="s">
        <v>2761</v>
      </c>
      <c r="D112" s="175" t="s">
        <v>2755</v>
      </c>
      <c r="E112" s="173" t="s">
        <v>2543</v>
      </c>
      <c r="F112" s="173" t="s">
        <v>35</v>
      </c>
      <c r="G112" s="173" t="s">
        <v>2501</v>
      </c>
      <c r="H112" s="179"/>
      <c r="I112" s="174">
        <v>45327</v>
      </c>
      <c r="J112" s="173" t="s">
        <v>2662</v>
      </c>
      <c r="K112" s="173" t="s">
        <v>21</v>
      </c>
      <c r="L112" s="173" t="s">
        <v>20</v>
      </c>
      <c r="M112" s="188">
        <v>200</v>
      </c>
      <c r="N112" s="179" t="s">
        <v>756</v>
      </c>
      <c r="O112" s="185">
        <v>506</v>
      </c>
    </row>
    <row r="113" spans="1:15" ht="25.5">
      <c r="A113" s="173">
        <v>100</v>
      </c>
      <c r="B113" s="175" t="s">
        <v>2762</v>
      </c>
      <c r="C113" s="175" t="s">
        <v>2763</v>
      </c>
      <c r="D113" s="175" t="s">
        <v>2755</v>
      </c>
      <c r="E113" s="173" t="s">
        <v>2543</v>
      </c>
      <c r="F113" s="173" t="s">
        <v>35</v>
      </c>
      <c r="G113" s="173" t="s">
        <v>2501</v>
      </c>
      <c r="H113" s="179"/>
      <c r="I113" s="174">
        <v>45327</v>
      </c>
      <c r="J113" s="173" t="s">
        <v>2662</v>
      </c>
      <c r="K113" s="173" t="s">
        <v>169</v>
      </c>
      <c r="L113" s="173" t="s">
        <v>20</v>
      </c>
      <c r="M113" s="188">
        <v>50</v>
      </c>
      <c r="N113" s="179" t="s">
        <v>756</v>
      </c>
      <c r="O113" s="185">
        <v>126.5</v>
      </c>
    </row>
    <row r="114" spans="1:15" ht="25.5">
      <c r="A114" s="173">
        <v>101</v>
      </c>
      <c r="B114" s="175" t="s">
        <v>2764</v>
      </c>
      <c r="C114" s="175" t="s">
        <v>2765</v>
      </c>
      <c r="D114" s="175" t="s">
        <v>2755</v>
      </c>
      <c r="E114" s="173" t="s">
        <v>2543</v>
      </c>
      <c r="F114" s="173" t="s">
        <v>35</v>
      </c>
      <c r="G114" s="173" t="s">
        <v>2501</v>
      </c>
      <c r="H114" s="179"/>
      <c r="I114" s="174">
        <v>45327</v>
      </c>
      <c r="J114" s="173" t="s">
        <v>2662</v>
      </c>
      <c r="K114" s="173" t="s">
        <v>21</v>
      </c>
      <c r="L114" s="173" t="s">
        <v>20</v>
      </c>
      <c r="M114" s="188">
        <v>200</v>
      </c>
      <c r="N114" s="179" t="s">
        <v>756</v>
      </c>
      <c r="O114" s="185">
        <v>506</v>
      </c>
    </row>
    <row r="115" spans="1:15" ht="25.5">
      <c r="A115" s="173">
        <v>102</v>
      </c>
      <c r="B115" s="175" t="s">
        <v>2766</v>
      </c>
      <c r="C115" s="175" t="s">
        <v>2767</v>
      </c>
      <c r="D115" s="175" t="s">
        <v>2755</v>
      </c>
      <c r="E115" s="173" t="s">
        <v>2543</v>
      </c>
      <c r="F115" s="173" t="s">
        <v>35</v>
      </c>
      <c r="G115" s="173" t="s">
        <v>2501</v>
      </c>
      <c r="H115" s="179"/>
      <c r="I115" s="174">
        <v>45327</v>
      </c>
      <c r="J115" s="173" t="s">
        <v>2662</v>
      </c>
      <c r="K115" s="173" t="s">
        <v>169</v>
      </c>
      <c r="L115" s="173" t="s">
        <v>20</v>
      </c>
      <c r="M115" s="188">
        <v>50</v>
      </c>
      <c r="N115" s="179" t="s">
        <v>756</v>
      </c>
      <c r="O115" s="185">
        <v>126.5</v>
      </c>
    </row>
    <row r="116" spans="1:15" ht="25.5">
      <c r="A116" s="173">
        <v>103</v>
      </c>
      <c r="B116" s="175" t="s">
        <v>2768</v>
      </c>
      <c r="C116" s="175" t="s">
        <v>2769</v>
      </c>
      <c r="D116" s="175" t="s">
        <v>2755</v>
      </c>
      <c r="E116" s="173" t="s">
        <v>2543</v>
      </c>
      <c r="F116" s="173" t="s">
        <v>35</v>
      </c>
      <c r="G116" s="173" t="s">
        <v>2501</v>
      </c>
      <c r="H116" s="179"/>
      <c r="I116" s="174">
        <v>45327</v>
      </c>
      <c r="J116" s="173" t="s">
        <v>2662</v>
      </c>
      <c r="K116" s="173" t="s">
        <v>21</v>
      </c>
      <c r="L116" s="173" t="s">
        <v>20</v>
      </c>
      <c r="M116" s="188">
        <v>300</v>
      </c>
      <c r="N116" s="179" t="s">
        <v>681</v>
      </c>
      <c r="O116" s="185">
        <v>5808</v>
      </c>
    </row>
    <row r="117" spans="1:15" ht="25.5">
      <c r="A117" s="173">
        <v>104</v>
      </c>
      <c r="B117" s="175" t="s">
        <v>2770</v>
      </c>
      <c r="C117" s="175" t="s">
        <v>2771</v>
      </c>
      <c r="D117" s="175" t="s">
        <v>2755</v>
      </c>
      <c r="E117" s="173" t="s">
        <v>2543</v>
      </c>
      <c r="F117" s="173" t="s">
        <v>35</v>
      </c>
      <c r="G117" s="173" t="s">
        <v>2501</v>
      </c>
      <c r="H117" s="179"/>
      <c r="I117" s="174">
        <v>45327</v>
      </c>
      <c r="J117" s="173" t="s">
        <v>2662</v>
      </c>
      <c r="K117" s="173" t="s">
        <v>21</v>
      </c>
      <c r="L117" s="173" t="s">
        <v>20</v>
      </c>
      <c r="M117" s="188">
        <v>500</v>
      </c>
      <c r="N117" s="179" t="s">
        <v>756</v>
      </c>
      <c r="O117" s="185">
        <v>110</v>
      </c>
    </row>
    <row r="118" spans="1:15" ht="25.5">
      <c r="A118" s="173">
        <v>105</v>
      </c>
      <c r="B118" s="175" t="s">
        <v>2772</v>
      </c>
      <c r="C118" s="175" t="s">
        <v>2773</v>
      </c>
      <c r="D118" s="175" t="s">
        <v>2755</v>
      </c>
      <c r="E118" s="173" t="s">
        <v>2543</v>
      </c>
      <c r="F118" s="173" t="s">
        <v>35</v>
      </c>
      <c r="G118" s="173" t="s">
        <v>2501</v>
      </c>
      <c r="H118" s="179"/>
      <c r="I118" s="174">
        <v>45327</v>
      </c>
      <c r="J118" s="173" t="s">
        <v>2662</v>
      </c>
      <c r="K118" s="173" t="s">
        <v>21</v>
      </c>
      <c r="L118" s="173" t="s">
        <v>20</v>
      </c>
      <c r="M118" s="188">
        <v>300</v>
      </c>
      <c r="N118" s="179" t="s">
        <v>756</v>
      </c>
      <c r="O118" s="185">
        <v>993</v>
      </c>
    </row>
    <row r="119" spans="1:15" ht="63.75">
      <c r="A119" s="173">
        <v>106</v>
      </c>
      <c r="B119" s="175" t="s">
        <v>2774</v>
      </c>
      <c r="C119" s="175" t="s">
        <v>2775</v>
      </c>
      <c r="D119" s="175" t="s">
        <v>2755</v>
      </c>
      <c r="E119" s="173" t="s">
        <v>2543</v>
      </c>
      <c r="F119" s="173" t="s">
        <v>35</v>
      </c>
      <c r="G119" s="173" t="s">
        <v>2501</v>
      </c>
      <c r="H119" s="179"/>
      <c r="I119" s="174">
        <v>45327</v>
      </c>
      <c r="J119" s="173" t="s">
        <v>2662</v>
      </c>
      <c r="K119" s="173" t="s">
        <v>21</v>
      </c>
      <c r="L119" s="173" t="s">
        <v>20</v>
      </c>
      <c r="M119" s="188">
        <v>500</v>
      </c>
      <c r="N119" s="179" t="s">
        <v>756</v>
      </c>
      <c r="O119" s="185">
        <v>5255</v>
      </c>
    </row>
    <row r="120" spans="1:15" ht="25.5">
      <c r="A120" s="173">
        <v>107</v>
      </c>
      <c r="B120" s="175" t="s">
        <v>2776</v>
      </c>
      <c r="C120" s="175" t="s">
        <v>2777</v>
      </c>
      <c r="D120" s="175" t="s">
        <v>2755</v>
      </c>
      <c r="E120" s="173" t="s">
        <v>2543</v>
      </c>
      <c r="F120" s="173" t="s">
        <v>35</v>
      </c>
      <c r="G120" s="173" t="s">
        <v>2501</v>
      </c>
      <c r="H120" s="179"/>
      <c r="I120" s="174">
        <v>45327</v>
      </c>
      <c r="J120" s="173" t="s">
        <v>2662</v>
      </c>
      <c r="K120" s="173" t="s">
        <v>21</v>
      </c>
      <c r="L120" s="173" t="s">
        <v>20</v>
      </c>
      <c r="M120" s="188">
        <v>10</v>
      </c>
      <c r="N120" s="179" t="s">
        <v>756</v>
      </c>
      <c r="O120" s="185">
        <v>149.1</v>
      </c>
    </row>
    <row r="121" spans="1:15" ht="38.25">
      <c r="A121" s="173">
        <v>108</v>
      </c>
      <c r="B121" s="181" t="s">
        <v>2778</v>
      </c>
      <c r="C121" s="175" t="s">
        <v>2779</v>
      </c>
      <c r="D121" s="175" t="s">
        <v>2755</v>
      </c>
      <c r="E121" s="173" t="s">
        <v>2543</v>
      </c>
      <c r="F121" s="173" t="s">
        <v>35</v>
      </c>
      <c r="G121" s="173" t="s">
        <v>2501</v>
      </c>
      <c r="H121" s="179"/>
      <c r="I121" s="174">
        <v>45327</v>
      </c>
      <c r="J121" s="173" t="s">
        <v>2662</v>
      </c>
      <c r="K121" s="173" t="s">
        <v>21</v>
      </c>
      <c r="L121" s="173" t="s">
        <v>20</v>
      </c>
      <c r="M121" s="188">
        <v>4</v>
      </c>
      <c r="N121" s="179" t="s">
        <v>756</v>
      </c>
      <c r="O121" s="185">
        <v>55.32</v>
      </c>
    </row>
    <row r="122" spans="1:15" ht="25.5">
      <c r="A122" s="173">
        <v>109</v>
      </c>
      <c r="B122" s="175" t="s">
        <v>957</v>
      </c>
      <c r="C122" s="175" t="s">
        <v>2780</v>
      </c>
      <c r="D122" s="175" t="s">
        <v>2755</v>
      </c>
      <c r="E122" s="173" t="s">
        <v>2543</v>
      </c>
      <c r="F122" s="173" t="s">
        <v>35</v>
      </c>
      <c r="G122" s="173" t="s">
        <v>2501</v>
      </c>
      <c r="H122" s="179"/>
      <c r="I122" s="174">
        <v>45327</v>
      </c>
      <c r="J122" s="173" t="s">
        <v>2662</v>
      </c>
      <c r="K122" s="173" t="s">
        <v>169</v>
      </c>
      <c r="L122" s="173" t="s">
        <v>20</v>
      </c>
      <c r="M122" s="188">
        <v>20</v>
      </c>
      <c r="N122" s="179" t="s">
        <v>756</v>
      </c>
      <c r="O122" s="185">
        <v>38.6</v>
      </c>
    </row>
    <row r="123" spans="1:15" ht="25.5">
      <c r="A123" s="173">
        <v>110</v>
      </c>
      <c r="B123" s="182" t="s">
        <v>2781</v>
      </c>
      <c r="C123" s="175" t="s">
        <v>2782</v>
      </c>
      <c r="D123" s="175" t="s">
        <v>2755</v>
      </c>
      <c r="E123" s="173" t="s">
        <v>2543</v>
      </c>
      <c r="F123" s="173" t="s">
        <v>35</v>
      </c>
      <c r="G123" s="173" t="s">
        <v>2501</v>
      </c>
      <c r="H123" s="179"/>
      <c r="I123" s="174">
        <v>45327</v>
      </c>
      <c r="J123" s="173" t="s">
        <v>2662</v>
      </c>
      <c r="K123" s="173" t="s">
        <v>169</v>
      </c>
      <c r="L123" s="173" t="s">
        <v>20</v>
      </c>
      <c r="M123" s="188">
        <v>5</v>
      </c>
      <c r="N123" s="179" t="s">
        <v>756</v>
      </c>
      <c r="O123" s="185">
        <v>29.45</v>
      </c>
    </row>
    <row r="124" spans="1:15" ht="25.5">
      <c r="A124" s="173">
        <v>111</v>
      </c>
      <c r="B124" s="175" t="s">
        <v>2783</v>
      </c>
      <c r="C124" s="175" t="s">
        <v>2784</v>
      </c>
      <c r="D124" s="175" t="s">
        <v>2755</v>
      </c>
      <c r="E124" s="173" t="s">
        <v>2543</v>
      </c>
      <c r="F124" s="173" t="s">
        <v>35</v>
      </c>
      <c r="G124" s="173" t="s">
        <v>2501</v>
      </c>
      <c r="H124" s="179"/>
      <c r="I124" s="174">
        <v>45327</v>
      </c>
      <c r="J124" s="173" t="s">
        <v>2662</v>
      </c>
      <c r="K124" s="173" t="s">
        <v>21</v>
      </c>
      <c r="L124" s="173" t="s">
        <v>20</v>
      </c>
      <c r="M124" s="188">
        <v>15</v>
      </c>
      <c r="N124" s="179" t="s">
        <v>756</v>
      </c>
      <c r="O124" s="185">
        <v>49.8</v>
      </c>
    </row>
    <row r="125" spans="1:15" ht="25.5">
      <c r="A125" s="173">
        <v>112</v>
      </c>
      <c r="B125" s="175" t="s">
        <v>1190</v>
      </c>
      <c r="C125" s="175" t="s">
        <v>2785</v>
      </c>
      <c r="D125" s="175" t="s">
        <v>2755</v>
      </c>
      <c r="E125" s="173" t="s">
        <v>2543</v>
      </c>
      <c r="F125" s="173" t="s">
        <v>35</v>
      </c>
      <c r="G125" s="173" t="s">
        <v>2501</v>
      </c>
      <c r="H125" s="179"/>
      <c r="I125" s="174">
        <v>45327</v>
      </c>
      <c r="J125" s="173" t="s">
        <v>2662</v>
      </c>
      <c r="K125" s="173" t="s">
        <v>21</v>
      </c>
      <c r="L125" s="173" t="s">
        <v>20</v>
      </c>
      <c r="M125" s="188">
        <v>15</v>
      </c>
      <c r="N125" s="179" t="s">
        <v>756</v>
      </c>
      <c r="O125" s="185">
        <v>497.85</v>
      </c>
    </row>
    <row r="126" spans="1:15" ht="25.5">
      <c r="A126" s="173">
        <v>113</v>
      </c>
      <c r="B126" s="181" t="s">
        <v>2786</v>
      </c>
      <c r="C126" s="175" t="s">
        <v>2787</v>
      </c>
      <c r="D126" s="175" t="s">
        <v>2755</v>
      </c>
      <c r="E126" s="173" t="s">
        <v>2543</v>
      </c>
      <c r="F126" s="173" t="s">
        <v>35</v>
      </c>
      <c r="G126" s="173" t="s">
        <v>2501</v>
      </c>
      <c r="H126" s="179"/>
      <c r="I126" s="174">
        <v>45327</v>
      </c>
      <c r="J126" s="173" t="s">
        <v>2662</v>
      </c>
      <c r="K126" s="173" t="s">
        <v>21</v>
      </c>
      <c r="L126" s="173" t="s">
        <v>20</v>
      </c>
      <c r="M126" s="188">
        <v>4</v>
      </c>
      <c r="N126" s="179" t="s">
        <v>756</v>
      </c>
      <c r="O126" s="185">
        <v>553.12</v>
      </c>
    </row>
    <row r="127" spans="1:15" ht="25.5">
      <c r="A127" s="173">
        <v>114</v>
      </c>
      <c r="B127" s="175" t="s">
        <v>2788</v>
      </c>
      <c r="C127" s="175" t="s">
        <v>2789</v>
      </c>
      <c r="D127" s="175" t="s">
        <v>2755</v>
      </c>
      <c r="E127" s="173" t="s">
        <v>2543</v>
      </c>
      <c r="F127" s="173" t="s">
        <v>35</v>
      </c>
      <c r="G127" s="173" t="s">
        <v>2501</v>
      </c>
      <c r="H127" s="179"/>
      <c r="I127" s="174">
        <v>45327</v>
      </c>
      <c r="J127" s="173" t="s">
        <v>2662</v>
      </c>
      <c r="K127" s="173" t="s">
        <v>169</v>
      </c>
      <c r="L127" s="173" t="s">
        <v>20</v>
      </c>
      <c r="M127" s="188">
        <v>15</v>
      </c>
      <c r="N127" s="179" t="s">
        <v>756</v>
      </c>
      <c r="O127" s="185">
        <v>20.7</v>
      </c>
    </row>
    <row r="128" spans="1:15" ht="25.5">
      <c r="A128" s="173">
        <v>115</v>
      </c>
      <c r="B128" s="175" t="s">
        <v>109</v>
      </c>
      <c r="C128" s="175" t="s">
        <v>2790</v>
      </c>
      <c r="D128" s="175" t="s">
        <v>2755</v>
      </c>
      <c r="E128" s="173" t="s">
        <v>2543</v>
      </c>
      <c r="F128" s="173" t="s">
        <v>35</v>
      </c>
      <c r="G128" s="173" t="s">
        <v>2501</v>
      </c>
      <c r="H128" s="179"/>
      <c r="I128" s="174">
        <v>45327</v>
      </c>
      <c r="J128" s="173" t="s">
        <v>2662</v>
      </c>
      <c r="K128" s="173" t="s">
        <v>21</v>
      </c>
      <c r="L128" s="173" t="s">
        <v>20</v>
      </c>
      <c r="M128" s="188">
        <v>15</v>
      </c>
      <c r="N128" s="179" t="s">
        <v>756</v>
      </c>
      <c r="O128" s="185">
        <v>694.95</v>
      </c>
    </row>
    <row r="129" spans="1:15" ht="25.5">
      <c r="A129" s="173">
        <v>116</v>
      </c>
      <c r="B129" s="175" t="s">
        <v>2791</v>
      </c>
      <c r="C129" s="175" t="s">
        <v>2792</v>
      </c>
      <c r="D129" s="175" t="s">
        <v>2755</v>
      </c>
      <c r="E129" s="173" t="s">
        <v>2543</v>
      </c>
      <c r="F129" s="173" t="s">
        <v>35</v>
      </c>
      <c r="G129" s="173" t="s">
        <v>2501</v>
      </c>
      <c r="H129" s="179"/>
      <c r="I129" s="174">
        <v>45327</v>
      </c>
      <c r="J129" s="173" t="s">
        <v>2662</v>
      </c>
      <c r="K129" s="173" t="s">
        <v>21</v>
      </c>
      <c r="L129" s="173" t="s">
        <v>20</v>
      </c>
      <c r="M129" s="188">
        <v>12</v>
      </c>
      <c r="N129" s="179" t="s">
        <v>756</v>
      </c>
      <c r="O129" s="185">
        <v>55.8</v>
      </c>
    </row>
    <row r="130" spans="1:15" ht="25.5">
      <c r="A130" s="173">
        <v>117</v>
      </c>
      <c r="B130" s="175" t="s">
        <v>2793</v>
      </c>
      <c r="C130" s="175" t="s">
        <v>2794</v>
      </c>
      <c r="D130" s="175" t="s">
        <v>2755</v>
      </c>
      <c r="E130" s="173" t="s">
        <v>2543</v>
      </c>
      <c r="F130" s="173" t="s">
        <v>35</v>
      </c>
      <c r="G130" s="173" t="s">
        <v>2501</v>
      </c>
      <c r="H130" s="179"/>
      <c r="I130" s="174">
        <v>45327</v>
      </c>
      <c r="J130" s="173" t="s">
        <v>2662</v>
      </c>
      <c r="K130" s="173" t="s">
        <v>21</v>
      </c>
      <c r="L130" s="173" t="s">
        <v>20</v>
      </c>
      <c r="M130" s="188">
        <v>8</v>
      </c>
      <c r="N130" s="179" t="s">
        <v>756</v>
      </c>
      <c r="O130" s="185">
        <v>37.200000000000003</v>
      </c>
    </row>
    <row r="131" spans="1:15" ht="38.25">
      <c r="A131" s="173">
        <v>118</v>
      </c>
      <c r="B131" s="175" t="s">
        <v>2795</v>
      </c>
      <c r="C131" s="175" t="s">
        <v>2796</v>
      </c>
      <c r="D131" s="175" t="s">
        <v>2755</v>
      </c>
      <c r="E131" s="173" t="s">
        <v>2543</v>
      </c>
      <c r="F131" s="173" t="s">
        <v>35</v>
      </c>
      <c r="G131" s="173" t="s">
        <v>2501</v>
      </c>
      <c r="H131" s="179"/>
      <c r="I131" s="174">
        <v>45327</v>
      </c>
      <c r="J131" s="173" t="s">
        <v>2662</v>
      </c>
      <c r="K131" s="173" t="s">
        <v>169</v>
      </c>
      <c r="L131" s="173" t="s">
        <v>20</v>
      </c>
      <c r="M131" s="188">
        <v>5</v>
      </c>
      <c r="N131" s="179" t="s">
        <v>756</v>
      </c>
      <c r="O131" s="185">
        <v>138.30000000000001</v>
      </c>
    </row>
    <row r="132" spans="1:15" ht="25.5">
      <c r="A132" s="173">
        <v>119</v>
      </c>
      <c r="B132" s="175" t="s">
        <v>2797</v>
      </c>
      <c r="C132" s="175" t="s">
        <v>2798</v>
      </c>
      <c r="D132" s="175" t="s">
        <v>2755</v>
      </c>
      <c r="E132" s="173" t="s">
        <v>2543</v>
      </c>
      <c r="F132" s="173" t="s">
        <v>35</v>
      </c>
      <c r="G132" s="173" t="s">
        <v>2501</v>
      </c>
      <c r="H132" s="179"/>
      <c r="I132" s="174">
        <v>45327</v>
      </c>
      <c r="J132" s="173" t="s">
        <v>2662</v>
      </c>
      <c r="K132" s="173" t="s">
        <v>169</v>
      </c>
      <c r="L132" s="173" t="s">
        <v>20</v>
      </c>
      <c r="M132" s="188">
        <v>50</v>
      </c>
      <c r="N132" s="179" t="s">
        <v>756</v>
      </c>
      <c r="O132" s="185">
        <v>345.5</v>
      </c>
    </row>
    <row r="133" spans="1:15" ht="25.5">
      <c r="A133" s="173">
        <v>120</v>
      </c>
      <c r="B133" s="175" t="s">
        <v>2799</v>
      </c>
      <c r="C133" s="175" t="s">
        <v>2800</v>
      </c>
      <c r="D133" s="175" t="s">
        <v>2755</v>
      </c>
      <c r="E133" s="173" t="s">
        <v>2543</v>
      </c>
      <c r="F133" s="173" t="s">
        <v>35</v>
      </c>
      <c r="G133" s="173" t="s">
        <v>2501</v>
      </c>
      <c r="H133" s="179"/>
      <c r="I133" s="174">
        <v>45327</v>
      </c>
      <c r="J133" s="173" t="s">
        <v>2662</v>
      </c>
      <c r="K133" s="173" t="s">
        <v>21</v>
      </c>
      <c r="L133" s="173" t="s">
        <v>20</v>
      </c>
      <c r="M133" s="188">
        <v>75</v>
      </c>
      <c r="N133" s="179" t="s">
        <v>2343</v>
      </c>
      <c r="O133" s="185">
        <v>933</v>
      </c>
    </row>
    <row r="134" spans="1:15" ht="25.5">
      <c r="A134" s="173">
        <v>121</v>
      </c>
      <c r="B134" s="175" t="s">
        <v>2801</v>
      </c>
      <c r="C134" s="175" t="s">
        <v>2802</v>
      </c>
      <c r="D134" s="175" t="s">
        <v>2755</v>
      </c>
      <c r="E134" s="173" t="s">
        <v>2543</v>
      </c>
      <c r="F134" s="173" t="s">
        <v>35</v>
      </c>
      <c r="G134" s="173" t="s">
        <v>2501</v>
      </c>
      <c r="H134" s="179"/>
      <c r="I134" s="174">
        <v>45327</v>
      </c>
      <c r="J134" s="173" t="s">
        <v>2662</v>
      </c>
      <c r="K134" s="173" t="s">
        <v>21</v>
      </c>
      <c r="L134" s="173" t="s">
        <v>20</v>
      </c>
      <c r="M134" s="188">
        <v>1</v>
      </c>
      <c r="N134" s="179" t="s">
        <v>681</v>
      </c>
      <c r="O134" s="185">
        <v>199.13</v>
      </c>
    </row>
    <row r="135" spans="1:15" ht="25.5">
      <c r="A135" s="173">
        <v>122</v>
      </c>
      <c r="B135" s="175" t="s">
        <v>2803</v>
      </c>
      <c r="C135" s="175" t="s">
        <v>2804</v>
      </c>
      <c r="D135" s="175" t="s">
        <v>2755</v>
      </c>
      <c r="E135" s="173" t="s">
        <v>2543</v>
      </c>
      <c r="F135" s="173" t="s">
        <v>35</v>
      </c>
      <c r="G135" s="173" t="s">
        <v>2501</v>
      </c>
      <c r="H135" s="179"/>
      <c r="I135" s="174">
        <v>45327</v>
      </c>
      <c r="J135" s="173" t="s">
        <v>2662</v>
      </c>
      <c r="K135" s="173" t="s">
        <v>21</v>
      </c>
      <c r="L135" s="173" t="s">
        <v>20</v>
      </c>
      <c r="M135" s="188">
        <v>250</v>
      </c>
      <c r="N135" s="179" t="s">
        <v>756</v>
      </c>
      <c r="O135" s="185">
        <v>122.5</v>
      </c>
    </row>
    <row r="136" spans="1:15" ht="25.5">
      <c r="A136" s="173">
        <v>123</v>
      </c>
      <c r="B136" s="175" t="s">
        <v>2805</v>
      </c>
      <c r="C136" s="175" t="s">
        <v>2806</v>
      </c>
      <c r="D136" s="175" t="s">
        <v>2755</v>
      </c>
      <c r="E136" s="173" t="s">
        <v>2543</v>
      </c>
      <c r="F136" s="173" t="s">
        <v>35</v>
      </c>
      <c r="G136" s="173" t="s">
        <v>2501</v>
      </c>
      <c r="H136" s="179"/>
      <c r="I136" s="174">
        <v>45327</v>
      </c>
      <c r="J136" s="173" t="s">
        <v>2662</v>
      </c>
      <c r="K136" s="173" t="s">
        <v>169</v>
      </c>
      <c r="L136" s="173" t="s">
        <v>20</v>
      </c>
      <c r="M136" s="188">
        <v>2</v>
      </c>
      <c r="N136" s="179" t="s">
        <v>681</v>
      </c>
      <c r="O136" s="185">
        <v>60.32</v>
      </c>
    </row>
    <row r="137" spans="1:15" ht="25.5">
      <c r="A137" s="173">
        <v>124</v>
      </c>
      <c r="B137" s="175" t="s">
        <v>2807</v>
      </c>
      <c r="C137" s="175" t="s">
        <v>2808</v>
      </c>
      <c r="D137" s="175" t="s">
        <v>2755</v>
      </c>
      <c r="E137" s="173" t="s">
        <v>2543</v>
      </c>
      <c r="F137" s="173" t="s">
        <v>35</v>
      </c>
      <c r="G137" s="173" t="s">
        <v>2501</v>
      </c>
      <c r="H137" s="179"/>
      <c r="I137" s="174">
        <v>45327</v>
      </c>
      <c r="J137" s="173" t="s">
        <v>2662</v>
      </c>
      <c r="K137" s="173" t="s">
        <v>169</v>
      </c>
      <c r="L137" s="173" t="s">
        <v>20</v>
      </c>
      <c r="M137" s="188">
        <v>10</v>
      </c>
      <c r="N137" s="179" t="s">
        <v>681</v>
      </c>
      <c r="O137" s="185">
        <v>41.5</v>
      </c>
    </row>
    <row r="138" spans="1:15" ht="25.5">
      <c r="A138" s="173">
        <v>125</v>
      </c>
      <c r="B138" s="175" t="s">
        <v>2809</v>
      </c>
      <c r="C138" s="175" t="s">
        <v>2810</v>
      </c>
      <c r="D138" s="175" t="s">
        <v>2755</v>
      </c>
      <c r="E138" s="173" t="s">
        <v>2543</v>
      </c>
      <c r="F138" s="173" t="s">
        <v>35</v>
      </c>
      <c r="G138" s="173" t="s">
        <v>2501</v>
      </c>
      <c r="H138" s="179"/>
      <c r="I138" s="174">
        <v>45327</v>
      </c>
      <c r="J138" s="173" t="s">
        <v>2662</v>
      </c>
      <c r="K138" s="173" t="s">
        <v>21</v>
      </c>
      <c r="L138" s="173" t="s">
        <v>20</v>
      </c>
      <c r="M138" s="188">
        <v>10</v>
      </c>
      <c r="N138" s="179" t="s">
        <v>681</v>
      </c>
      <c r="O138" s="185">
        <v>71.400000000000006</v>
      </c>
    </row>
    <row r="139" spans="1:15" ht="25.5">
      <c r="A139" s="173">
        <v>126</v>
      </c>
      <c r="B139" s="175" t="s">
        <v>2811</v>
      </c>
      <c r="C139" s="175" t="s">
        <v>2812</v>
      </c>
      <c r="D139" s="175" t="s">
        <v>2755</v>
      </c>
      <c r="E139" s="173" t="s">
        <v>2543</v>
      </c>
      <c r="F139" s="173" t="s">
        <v>35</v>
      </c>
      <c r="G139" s="173" t="s">
        <v>2501</v>
      </c>
      <c r="H139" s="179"/>
      <c r="I139" s="174">
        <v>45327</v>
      </c>
      <c r="J139" s="173" t="s">
        <v>2662</v>
      </c>
      <c r="K139" s="173" t="s">
        <v>21</v>
      </c>
      <c r="L139" s="173" t="s">
        <v>20</v>
      </c>
      <c r="M139" s="188">
        <v>70</v>
      </c>
      <c r="N139" s="179" t="s">
        <v>681</v>
      </c>
      <c r="O139" s="185">
        <v>1258.5999999999999</v>
      </c>
    </row>
    <row r="140" spans="1:15" ht="25.5">
      <c r="A140" s="173">
        <v>127</v>
      </c>
      <c r="B140" s="175" t="s">
        <v>2813</v>
      </c>
      <c r="C140" s="175" t="s">
        <v>2814</v>
      </c>
      <c r="D140" s="175" t="s">
        <v>2755</v>
      </c>
      <c r="E140" s="173" t="s">
        <v>2543</v>
      </c>
      <c r="F140" s="173" t="s">
        <v>35</v>
      </c>
      <c r="G140" s="173" t="s">
        <v>2501</v>
      </c>
      <c r="H140" s="179"/>
      <c r="I140" s="174">
        <v>45327</v>
      </c>
      <c r="J140" s="173" t="s">
        <v>2662</v>
      </c>
      <c r="K140" s="173" t="s">
        <v>21</v>
      </c>
      <c r="L140" s="173" t="s">
        <v>20</v>
      </c>
      <c r="M140" s="188">
        <v>4</v>
      </c>
      <c r="N140" s="179" t="s">
        <v>2343</v>
      </c>
      <c r="O140" s="185">
        <v>120</v>
      </c>
    </row>
    <row r="141" spans="1:15" ht="38.25">
      <c r="A141" s="173">
        <v>128</v>
      </c>
      <c r="B141" s="175" t="s">
        <v>2815</v>
      </c>
      <c r="C141" s="175" t="s">
        <v>2816</v>
      </c>
      <c r="D141" s="175" t="s">
        <v>2755</v>
      </c>
      <c r="E141" s="173" t="s">
        <v>2543</v>
      </c>
      <c r="F141" s="173" t="s">
        <v>35</v>
      </c>
      <c r="G141" s="173" t="s">
        <v>2501</v>
      </c>
      <c r="H141" s="179"/>
      <c r="I141" s="174">
        <v>45327</v>
      </c>
      <c r="J141" s="173" t="s">
        <v>2662</v>
      </c>
      <c r="K141" s="173" t="s">
        <v>21</v>
      </c>
      <c r="L141" s="173" t="s">
        <v>20</v>
      </c>
      <c r="M141" s="188">
        <v>15</v>
      </c>
      <c r="N141" s="179" t="s">
        <v>756</v>
      </c>
      <c r="O141" s="185">
        <v>49.8</v>
      </c>
    </row>
    <row r="142" spans="1:15" ht="25.5">
      <c r="A142" s="173">
        <v>129</v>
      </c>
      <c r="B142" s="175" t="s">
        <v>2817</v>
      </c>
      <c r="C142" s="175" t="s">
        <v>2818</v>
      </c>
      <c r="D142" s="175" t="s">
        <v>2755</v>
      </c>
      <c r="E142" s="173" t="s">
        <v>2543</v>
      </c>
      <c r="F142" s="173" t="s">
        <v>35</v>
      </c>
      <c r="G142" s="173" t="s">
        <v>2501</v>
      </c>
      <c r="H142" s="179"/>
      <c r="I142" s="174">
        <v>45327</v>
      </c>
      <c r="J142" s="173" t="s">
        <v>2662</v>
      </c>
      <c r="K142" s="173" t="s">
        <v>21</v>
      </c>
      <c r="L142" s="173" t="s">
        <v>20</v>
      </c>
      <c r="M142" s="188">
        <v>15</v>
      </c>
      <c r="N142" s="179" t="s">
        <v>756</v>
      </c>
      <c r="O142" s="185">
        <v>41.4</v>
      </c>
    </row>
    <row r="143" spans="1:15" ht="63.75">
      <c r="A143" s="173">
        <v>130</v>
      </c>
      <c r="B143" s="175" t="s">
        <v>2819</v>
      </c>
      <c r="C143" s="175" t="s">
        <v>2820</v>
      </c>
      <c r="D143" s="175" t="s">
        <v>2755</v>
      </c>
      <c r="E143" s="173" t="s">
        <v>2543</v>
      </c>
      <c r="F143" s="173" t="s">
        <v>35</v>
      </c>
      <c r="G143" s="173" t="s">
        <v>2501</v>
      </c>
      <c r="H143" s="179"/>
      <c r="I143" s="174">
        <v>45327</v>
      </c>
      <c r="J143" s="173" t="s">
        <v>2662</v>
      </c>
      <c r="K143" s="173" t="s">
        <v>169</v>
      </c>
      <c r="L143" s="173" t="s">
        <v>20</v>
      </c>
      <c r="M143" s="188">
        <v>2</v>
      </c>
      <c r="N143" s="179" t="s">
        <v>756</v>
      </c>
      <c r="O143" s="185">
        <v>276.56</v>
      </c>
    </row>
    <row r="144" spans="1:15" ht="38.25">
      <c r="A144" s="173">
        <v>131</v>
      </c>
      <c r="B144" s="175" t="s">
        <v>2821</v>
      </c>
      <c r="C144" s="175" t="s">
        <v>2822</v>
      </c>
      <c r="D144" s="175" t="s">
        <v>2755</v>
      </c>
      <c r="E144" s="173" t="s">
        <v>2543</v>
      </c>
      <c r="F144" s="173" t="s">
        <v>35</v>
      </c>
      <c r="G144" s="173" t="s">
        <v>2501</v>
      </c>
      <c r="H144" s="179"/>
      <c r="I144" s="174">
        <v>45327</v>
      </c>
      <c r="J144" s="173" t="s">
        <v>2662</v>
      </c>
      <c r="K144" s="173" t="s">
        <v>21</v>
      </c>
      <c r="L144" s="173" t="s">
        <v>20</v>
      </c>
      <c r="M144" s="188">
        <v>10</v>
      </c>
      <c r="N144" s="179" t="s">
        <v>756</v>
      </c>
      <c r="O144" s="185">
        <v>331.9</v>
      </c>
    </row>
    <row r="145" spans="1:15" ht="25.5">
      <c r="A145" s="173">
        <v>132</v>
      </c>
      <c r="B145" s="175" t="s">
        <v>2823</v>
      </c>
      <c r="C145" s="175" t="s">
        <v>2824</v>
      </c>
      <c r="D145" s="175" t="s">
        <v>2755</v>
      </c>
      <c r="E145" s="173" t="s">
        <v>2543</v>
      </c>
      <c r="F145" s="173" t="s">
        <v>35</v>
      </c>
      <c r="G145" s="173" t="s">
        <v>2501</v>
      </c>
      <c r="H145" s="179"/>
      <c r="I145" s="174">
        <v>45327</v>
      </c>
      <c r="J145" s="173" t="s">
        <v>2662</v>
      </c>
      <c r="K145" s="173" t="s">
        <v>169</v>
      </c>
      <c r="L145" s="173" t="s">
        <v>20</v>
      </c>
      <c r="M145" s="188">
        <v>4</v>
      </c>
      <c r="N145" s="179" t="s">
        <v>681</v>
      </c>
      <c r="O145" s="185">
        <v>33.159999999999997</v>
      </c>
    </row>
    <row r="146" spans="1:15" ht="25.5">
      <c r="A146" s="173">
        <v>133</v>
      </c>
      <c r="B146" s="175" t="s">
        <v>2825</v>
      </c>
      <c r="C146" s="175" t="s">
        <v>2826</v>
      </c>
      <c r="D146" s="175" t="s">
        <v>2755</v>
      </c>
      <c r="E146" s="173" t="s">
        <v>2543</v>
      </c>
      <c r="F146" s="173" t="s">
        <v>35</v>
      </c>
      <c r="G146" s="173" t="s">
        <v>2501</v>
      </c>
      <c r="H146" s="179"/>
      <c r="I146" s="174">
        <v>45327</v>
      </c>
      <c r="J146" s="173" t="s">
        <v>2662</v>
      </c>
      <c r="K146" s="173" t="s">
        <v>21</v>
      </c>
      <c r="L146" s="173" t="s">
        <v>20</v>
      </c>
      <c r="M146" s="188">
        <v>30</v>
      </c>
      <c r="N146" s="179" t="s">
        <v>681</v>
      </c>
      <c r="O146" s="185">
        <v>331.8</v>
      </c>
    </row>
    <row r="147" spans="1:15" ht="25.5">
      <c r="A147" s="173">
        <v>134</v>
      </c>
      <c r="B147" s="175" t="s">
        <v>2827</v>
      </c>
      <c r="C147" s="175" t="s">
        <v>2828</v>
      </c>
      <c r="D147" s="175" t="s">
        <v>2755</v>
      </c>
      <c r="E147" s="173" t="s">
        <v>2543</v>
      </c>
      <c r="F147" s="173" t="s">
        <v>35</v>
      </c>
      <c r="G147" s="173" t="s">
        <v>2501</v>
      </c>
      <c r="H147" s="179"/>
      <c r="I147" s="174">
        <v>45327</v>
      </c>
      <c r="J147" s="173" t="s">
        <v>2662</v>
      </c>
      <c r="K147" s="173" t="s">
        <v>169</v>
      </c>
      <c r="L147" s="173" t="s">
        <v>20</v>
      </c>
      <c r="M147" s="188">
        <v>20</v>
      </c>
      <c r="N147" s="179" t="s">
        <v>756</v>
      </c>
      <c r="O147" s="185">
        <v>400</v>
      </c>
    </row>
    <row r="148" spans="1:15" ht="38.25">
      <c r="A148" s="173">
        <v>135</v>
      </c>
      <c r="B148" s="175" t="s">
        <v>2829</v>
      </c>
      <c r="C148" s="175" t="s">
        <v>2830</v>
      </c>
      <c r="D148" s="175" t="s">
        <v>2755</v>
      </c>
      <c r="E148" s="173" t="s">
        <v>2543</v>
      </c>
      <c r="F148" s="173" t="s">
        <v>35</v>
      </c>
      <c r="G148" s="173" t="s">
        <v>2501</v>
      </c>
      <c r="H148" s="179"/>
      <c r="I148" s="174">
        <v>45327</v>
      </c>
      <c r="J148" s="173" t="s">
        <v>2662</v>
      </c>
      <c r="K148" s="173" t="s">
        <v>169</v>
      </c>
      <c r="L148" s="173" t="s">
        <v>20</v>
      </c>
      <c r="M148" s="188">
        <v>15</v>
      </c>
      <c r="N148" s="179" t="s">
        <v>756</v>
      </c>
      <c r="O148" s="185">
        <v>1037.25</v>
      </c>
    </row>
    <row r="149" spans="1:15" ht="25.5">
      <c r="A149" s="173">
        <v>136</v>
      </c>
      <c r="B149" s="175" t="s">
        <v>2831</v>
      </c>
      <c r="C149" s="175" t="s">
        <v>2832</v>
      </c>
      <c r="D149" s="175" t="s">
        <v>2755</v>
      </c>
      <c r="E149" s="173" t="s">
        <v>2543</v>
      </c>
      <c r="F149" s="173" t="s">
        <v>35</v>
      </c>
      <c r="G149" s="173" t="s">
        <v>2501</v>
      </c>
      <c r="H149" s="179"/>
      <c r="I149" s="174">
        <v>45327</v>
      </c>
      <c r="J149" s="173" t="s">
        <v>2662</v>
      </c>
      <c r="K149" s="173" t="s">
        <v>21</v>
      </c>
      <c r="L149" s="173" t="s">
        <v>20</v>
      </c>
      <c r="M149" s="188">
        <v>25</v>
      </c>
      <c r="N149" s="179" t="s">
        <v>756</v>
      </c>
      <c r="O149" s="185">
        <v>1000</v>
      </c>
    </row>
    <row r="150" spans="1:15" ht="25.5">
      <c r="A150" s="173">
        <v>137</v>
      </c>
      <c r="B150" s="175" t="s">
        <v>2833</v>
      </c>
      <c r="C150" s="175" t="s">
        <v>2834</v>
      </c>
      <c r="D150" s="175" t="s">
        <v>2755</v>
      </c>
      <c r="E150" s="173" t="s">
        <v>2543</v>
      </c>
      <c r="F150" s="173" t="s">
        <v>35</v>
      </c>
      <c r="G150" s="173" t="s">
        <v>2501</v>
      </c>
      <c r="H150" s="179"/>
      <c r="I150" s="174">
        <v>45327</v>
      </c>
      <c r="J150" s="173" t="s">
        <v>2662</v>
      </c>
      <c r="K150" s="173" t="s">
        <v>21</v>
      </c>
      <c r="L150" s="173" t="s">
        <v>20</v>
      </c>
      <c r="M150" s="188">
        <v>24</v>
      </c>
      <c r="N150" s="179" t="s">
        <v>756</v>
      </c>
      <c r="O150" s="185">
        <v>1296</v>
      </c>
    </row>
    <row r="151" spans="1:15" ht="25.5">
      <c r="A151" s="173">
        <v>138</v>
      </c>
      <c r="B151" s="175" t="s">
        <v>2835</v>
      </c>
      <c r="C151" s="175" t="s">
        <v>2836</v>
      </c>
      <c r="D151" s="175" t="s">
        <v>2755</v>
      </c>
      <c r="E151" s="173" t="s">
        <v>2543</v>
      </c>
      <c r="F151" s="173" t="s">
        <v>35</v>
      </c>
      <c r="G151" s="173" t="s">
        <v>2501</v>
      </c>
      <c r="H151" s="179"/>
      <c r="I151" s="174">
        <v>45327</v>
      </c>
      <c r="J151" s="173" t="s">
        <v>2662</v>
      </c>
      <c r="K151" s="173" t="s">
        <v>21</v>
      </c>
      <c r="L151" s="173" t="s">
        <v>20</v>
      </c>
      <c r="M151" s="188">
        <v>150</v>
      </c>
      <c r="N151" s="179" t="s">
        <v>756</v>
      </c>
      <c r="O151" s="185">
        <v>6000</v>
      </c>
    </row>
    <row r="152" spans="1:15" ht="25.5">
      <c r="A152" s="173">
        <v>139</v>
      </c>
      <c r="B152" s="175" t="s">
        <v>2837</v>
      </c>
      <c r="C152" s="175" t="s">
        <v>2838</v>
      </c>
      <c r="D152" s="175" t="s">
        <v>2755</v>
      </c>
      <c r="E152" s="173" t="s">
        <v>2543</v>
      </c>
      <c r="F152" s="173" t="s">
        <v>35</v>
      </c>
      <c r="G152" s="173" t="s">
        <v>2501</v>
      </c>
      <c r="H152" s="179"/>
      <c r="I152" s="174">
        <v>45327</v>
      </c>
      <c r="J152" s="173" t="s">
        <v>2662</v>
      </c>
      <c r="K152" s="173" t="s">
        <v>169</v>
      </c>
      <c r="L152" s="173" t="s">
        <v>20</v>
      </c>
      <c r="M152" s="188">
        <v>100</v>
      </c>
      <c r="N152" s="179" t="s">
        <v>756</v>
      </c>
      <c r="O152" s="185">
        <v>175</v>
      </c>
    </row>
    <row r="153" spans="1:15" ht="25.5">
      <c r="A153" s="173">
        <v>140</v>
      </c>
      <c r="B153" s="175" t="s">
        <v>2839</v>
      </c>
      <c r="C153" s="175" t="s">
        <v>2840</v>
      </c>
      <c r="D153" s="175" t="s">
        <v>2755</v>
      </c>
      <c r="E153" s="173" t="s">
        <v>2543</v>
      </c>
      <c r="F153" s="173" t="s">
        <v>35</v>
      </c>
      <c r="G153" s="173" t="s">
        <v>2501</v>
      </c>
      <c r="H153" s="179"/>
      <c r="I153" s="174">
        <v>45327</v>
      </c>
      <c r="J153" s="173" t="s">
        <v>2662</v>
      </c>
      <c r="K153" s="173" t="s">
        <v>21</v>
      </c>
      <c r="L153" s="173" t="s">
        <v>20</v>
      </c>
      <c r="M153" s="188">
        <v>100</v>
      </c>
      <c r="N153" s="179" t="s">
        <v>756</v>
      </c>
      <c r="O153" s="185">
        <v>2351</v>
      </c>
    </row>
    <row r="154" spans="1:15" ht="25.5">
      <c r="A154" s="173">
        <v>141</v>
      </c>
      <c r="B154" s="175" t="s">
        <v>2841</v>
      </c>
      <c r="C154" s="175" t="s">
        <v>2842</v>
      </c>
      <c r="D154" s="175" t="s">
        <v>2755</v>
      </c>
      <c r="E154" s="173" t="s">
        <v>2543</v>
      </c>
      <c r="F154" s="173" t="s">
        <v>35</v>
      </c>
      <c r="G154" s="173" t="s">
        <v>2501</v>
      </c>
      <c r="H154" s="179"/>
      <c r="I154" s="174">
        <v>45327</v>
      </c>
      <c r="J154" s="173" t="s">
        <v>2662</v>
      </c>
      <c r="K154" s="173" t="s">
        <v>21</v>
      </c>
      <c r="L154" s="173" t="s">
        <v>20</v>
      </c>
      <c r="M154" s="188">
        <v>15</v>
      </c>
      <c r="N154" s="179" t="s">
        <v>756</v>
      </c>
      <c r="O154" s="185">
        <v>1866.9</v>
      </c>
    </row>
    <row r="155" spans="1:15" ht="25.5">
      <c r="A155" s="173">
        <v>142</v>
      </c>
      <c r="B155" s="175" t="s">
        <v>2843</v>
      </c>
      <c r="C155" s="175" t="s">
        <v>2844</v>
      </c>
      <c r="D155" s="175" t="s">
        <v>2755</v>
      </c>
      <c r="E155" s="173" t="s">
        <v>2543</v>
      </c>
      <c r="F155" s="173" t="s">
        <v>35</v>
      </c>
      <c r="G155" s="173" t="s">
        <v>2501</v>
      </c>
      <c r="H155" s="179"/>
      <c r="I155" s="174">
        <v>45327</v>
      </c>
      <c r="J155" s="173" t="s">
        <v>2662</v>
      </c>
      <c r="K155" s="173" t="s">
        <v>169</v>
      </c>
      <c r="L155" s="173" t="s">
        <v>20</v>
      </c>
      <c r="M155" s="188">
        <v>25</v>
      </c>
      <c r="N155" s="179" t="s">
        <v>756</v>
      </c>
      <c r="O155" s="185">
        <v>52</v>
      </c>
    </row>
    <row r="156" spans="1:15" ht="25.5">
      <c r="A156" s="173">
        <v>143</v>
      </c>
      <c r="B156" s="175" t="s">
        <v>2845</v>
      </c>
      <c r="C156" s="175" t="s">
        <v>2846</v>
      </c>
      <c r="D156" s="175" t="s">
        <v>2755</v>
      </c>
      <c r="E156" s="173" t="s">
        <v>2543</v>
      </c>
      <c r="F156" s="173" t="s">
        <v>35</v>
      </c>
      <c r="G156" s="173" t="s">
        <v>2501</v>
      </c>
      <c r="H156" s="179"/>
      <c r="I156" s="174">
        <v>45327</v>
      </c>
      <c r="J156" s="173" t="s">
        <v>2662</v>
      </c>
      <c r="K156" s="173" t="s">
        <v>21</v>
      </c>
      <c r="L156" s="173" t="s">
        <v>20</v>
      </c>
      <c r="M156" s="188">
        <v>100</v>
      </c>
      <c r="N156" s="179" t="s">
        <v>756</v>
      </c>
      <c r="O156" s="185">
        <v>818</v>
      </c>
    </row>
    <row r="157" spans="1:15" ht="63.75">
      <c r="A157" s="173">
        <v>144</v>
      </c>
      <c r="B157" s="175" t="s">
        <v>2847</v>
      </c>
      <c r="C157" s="175" t="s">
        <v>2848</v>
      </c>
      <c r="D157" s="175" t="s">
        <v>2755</v>
      </c>
      <c r="E157" s="173" t="s">
        <v>2543</v>
      </c>
      <c r="F157" s="173" t="s">
        <v>35</v>
      </c>
      <c r="G157" s="173" t="s">
        <v>2501</v>
      </c>
      <c r="H157" s="179"/>
      <c r="I157" s="174">
        <v>45327</v>
      </c>
      <c r="J157" s="173" t="s">
        <v>2662</v>
      </c>
      <c r="K157" s="173" t="s">
        <v>21</v>
      </c>
      <c r="L157" s="173" t="s">
        <v>20</v>
      </c>
      <c r="M157" s="188">
        <v>1</v>
      </c>
      <c r="N157" s="179" t="s">
        <v>756</v>
      </c>
      <c r="O157" s="185">
        <v>110.63</v>
      </c>
    </row>
    <row r="158" spans="1:15" ht="25.5">
      <c r="A158" s="173">
        <v>145</v>
      </c>
      <c r="B158" s="175" t="s">
        <v>2849</v>
      </c>
      <c r="C158" s="175" t="s">
        <v>2850</v>
      </c>
      <c r="D158" s="175" t="s">
        <v>2755</v>
      </c>
      <c r="E158" s="173" t="s">
        <v>2543</v>
      </c>
      <c r="F158" s="173" t="s">
        <v>35</v>
      </c>
      <c r="G158" s="173" t="s">
        <v>2501</v>
      </c>
      <c r="H158" s="179"/>
      <c r="I158" s="174">
        <v>45327</v>
      </c>
      <c r="J158" s="173" t="s">
        <v>2662</v>
      </c>
      <c r="K158" s="173" t="s">
        <v>21</v>
      </c>
      <c r="L158" s="173" t="s">
        <v>20</v>
      </c>
      <c r="M158" s="188">
        <v>8</v>
      </c>
      <c r="N158" s="179" t="s">
        <v>756</v>
      </c>
      <c r="O158" s="185">
        <v>121.68</v>
      </c>
    </row>
    <row r="159" spans="1:15" ht="63.75">
      <c r="A159" s="173">
        <v>146</v>
      </c>
      <c r="B159" s="175" t="s">
        <v>2851</v>
      </c>
      <c r="C159" s="175" t="s">
        <v>2852</v>
      </c>
      <c r="D159" s="175" t="s">
        <v>2755</v>
      </c>
      <c r="E159" s="173" t="s">
        <v>2543</v>
      </c>
      <c r="F159" s="173" t="s">
        <v>35</v>
      </c>
      <c r="G159" s="173" t="s">
        <v>2501</v>
      </c>
      <c r="H159" s="179"/>
      <c r="I159" s="174">
        <v>45327</v>
      </c>
      <c r="J159" s="173" t="s">
        <v>2662</v>
      </c>
      <c r="K159" s="173" t="s">
        <v>21</v>
      </c>
      <c r="L159" s="173" t="s">
        <v>20</v>
      </c>
      <c r="M159" s="188">
        <v>20</v>
      </c>
      <c r="N159" s="179" t="s">
        <v>756</v>
      </c>
      <c r="O159" s="185">
        <v>144.80000000000001</v>
      </c>
    </row>
    <row r="160" spans="1:15" ht="25.5">
      <c r="A160" s="173">
        <v>147</v>
      </c>
      <c r="B160" s="175" t="s">
        <v>2853</v>
      </c>
      <c r="C160" s="175" t="s">
        <v>2854</v>
      </c>
      <c r="D160" s="175" t="s">
        <v>2755</v>
      </c>
      <c r="E160" s="173" t="s">
        <v>2543</v>
      </c>
      <c r="F160" s="173" t="s">
        <v>35</v>
      </c>
      <c r="G160" s="173" t="s">
        <v>2501</v>
      </c>
      <c r="H160" s="179"/>
      <c r="I160" s="174">
        <v>45327</v>
      </c>
      <c r="J160" s="173" t="s">
        <v>2662</v>
      </c>
      <c r="K160" s="173" t="s">
        <v>21</v>
      </c>
      <c r="L160" s="173" t="s">
        <v>20</v>
      </c>
      <c r="M160" s="188">
        <v>3</v>
      </c>
      <c r="N160" s="179" t="s">
        <v>756</v>
      </c>
      <c r="O160" s="185">
        <v>58.08</v>
      </c>
    </row>
    <row r="161" spans="1:15" ht="25.5">
      <c r="A161" s="173">
        <v>148</v>
      </c>
      <c r="B161" s="175" t="s">
        <v>2855</v>
      </c>
      <c r="C161" s="175" t="s">
        <v>2856</v>
      </c>
      <c r="D161" s="175" t="s">
        <v>2755</v>
      </c>
      <c r="E161" s="173" t="s">
        <v>2543</v>
      </c>
      <c r="F161" s="173" t="s">
        <v>35</v>
      </c>
      <c r="G161" s="173" t="s">
        <v>2501</v>
      </c>
      <c r="H161" s="179"/>
      <c r="I161" s="174">
        <v>45327</v>
      </c>
      <c r="J161" s="173" t="s">
        <v>2662</v>
      </c>
      <c r="K161" s="173" t="s">
        <v>21</v>
      </c>
      <c r="L161" s="173" t="s">
        <v>20</v>
      </c>
      <c r="M161" s="188">
        <v>15</v>
      </c>
      <c r="N161" s="179" t="s">
        <v>756</v>
      </c>
      <c r="O161" s="185">
        <v>54.3</v>
      </c>
    </row>
    <row r="162" spans="1:15" ht="25.5">
      <c r="A162" s="173">
        <v>149</v>
      </c>
      <c r="B162" s="175" t="s">
        <v>2857</v>
      </c>
      <c r="C162" s="175" t="s">
        <v>2858</v>
      </c>
      <c r="D162" s="175" t="s">
        <v>2755</v>
      </c>
      <c r="E162" s="173" t="s">
        <v>2543</v>
      </c>
      <c r="F162" s="173" t="s">
        <v>35</v>
      </c>
      <c r="G162" s="173" t="s">
        <v>2501</v>
      </c>
      <c r="H162" s="179"/>
      <c r="I162" s="174">
        <v>45327</v>
      </c>
      <c r="J162" s="173" t="s">
        <v>2662</v>
      </c>
      <c r="K162" s="173" t="s">
        <v>21</v>
      </c>
      <c r="L162" s="173" t="s">
        <v>20</v>
      </c>
      <c r="M162" s="188">
        <v>3</v>
      </c>
      <c r="N162" s="179" t="s">
        <v>756</v>
      </c>
      <c r="O162" s="185">
        <v>34.65</v>
      </c>
    </row>
    <row r="163" spans="1:15" ht="25.5">
      <c r="A163" s="173">
        <v>150</v>
      </c>
      <c r="B163" s="175" t="s">
        <v>2859</v>
      </c>
      <c r="C163" s="175" t="s">
        <v>2860</v>
      </c>
      <c r="D163" s="175" t="s">
        <v>2755</v>
      </c>
      <c r="E163" s="173" t="s">
        <v>2543</v>
      </c>
      <c r="F163" s="173" t="s">
        <v>35</v>
      </c>
      <c r="G163" s="173" t="s">
        <v>2501</v>
      </c>
      <c r="H163" s="179"/>
      <c r="I163" s="174">
        <v>45327</v>
      </c>
      <c r="J163" s="173" t="s">
        <v>2662</v>
      </c>
      <c r="K163" s="173" t="s">
        <v>21</v>
      </c>
      <c r="L163" s="173" t="s">
        <v>20</v>
      </c>
      <c r="M163" s="188">
        <v>3</v>
      </c>
      <c r="N163" s="179" t="s">
        <v>756</v>
      </c>
      <c r="O163" s="185">
        <v>19.079999999999998</v>
      </c>
    </row>
    <row r="164" spans="1:15" ht="25.5">
      <c r="A164" s="173">
        <v>151</v>
      </c>
      <c r="B164" s="175" t="s">
        <v>2861</v>
      </c>
      <c r="C164" s="175" t="s">
        <v>2862</v>
      </c>
      <c r="D164" s="175" t="s">
        <v>2755</v>
      </c>
      <c r="E164" s="173" t="s">
        <v>2543</v>
      </c>
      <c r="F164" s="173" t="s">
        <v>35</v>
      </c>
      <c r="G164" s="173" t="s">
        <v>2501</v>
      </c>
      <c r="H164" s="179"/>
      <c r="I164" s="174">
        <v>45327</v>
      </c>
      <c r="J164" s="173" t="s">
        <v>2662</v>
      </c>
      <c r="K164" s="173" t="s">
        <v>21</v>
      </c>
      <c r="L164" s="173" t="s">
        <v>20</v>
      </c>
      <c r="M164" s="188">
        <v>4</v>
      </c>
      <c r="N164" s="179" t="s">
        <v>756</v>
      </c>
      <c r="O164" s="185">
        <v>25.44</v>
      </c>
    </row>
    <row r="165" spans="1:15" ht="25.5">
      <c r="A165" s="173">
        <v>152</v>
      </c>
      <c r="B165" s="175" t="s">
        <v>2863</v>
      </c>
      <c r="C165" s="175" t="s">
        <v>2864</v>
      </c>
      <c r="D165" s="175" t="s">
        <v>2755</v>
      </c>
      <c r="E165" s="173" t="s">
        <v>2543</v>
      </c>
      <c r="F165" s="173" t="s">
        <v>35</v>
      </c>
      <c r="G165" s="173" t="s">
        <v>2501</v>
      </c>
      <c r="H165" s="179"/>
      <c r="I165" s="174">
        <v>45327</v>
      </c>
      <c r="J165" s="173" t="s">
        <v>2662</v>
      </c>
      <c r="K165" s="173" t="s">
        <v>169</v>
      </c>
      <c r="L165" s="173" t="s">
        <v>20</v>
      </c>
      <c r="M165" s="188">
        <v>3</v>
      </c>
      <c r="N165" s="179" t="s">
        <v>2865</v>
      </c>
      <c r="O165" s="185">
        <v>150</v>
      </c>
    </row>
    <row r="166" spans="1:15" ht="25.5">
      <c r="A166" s="173">
        <v>153</v>
      </c>
      <c r="B166" s="175" t="s">
        <v>2866</v>
      </c>
      <c r="C166" s="175" t="s">
        <v>2867</v>
      </c>
      <c r="D166" s="175" t="s">
        <v>2755</v>
      </c>
      <c r="E166" s="173" t="s">
        <v>2543</v>
      </c>
      <c r="F166" s="173" t="s">
        <v>35</v>
      </c>
      <c r="G166" s="173" t="s">
        <v>2501</v>
      </c>
      <c r="H166" s="179"/>
      <c r="I166" s="174">
        <v>45327</v>
      </c>
      <c r="J166" s="173" t="s">
        <v>2662</v>
      </c>
      <c r="K166" s="173" t="s">
        <v>21</v>
      </c>
      <c r="L166" s="173" t="s">
        <v>20</v>
      </c>
      <c r="M166" s="188">
        <v>5</v>
      </c>
      <c r="N166" s="179" t="s">
        <v>2865</v>
      </c>
      <c r="O166" s="185">
        <v>200</v>
      </c>
    </row>
    <row r="167" spans="1:15" ht="38.25">
      <c r="A167" s="173">
        <v>154</v>
      </c>
      <c r="B167" s="175" t="s">
        <v>2868</v>
      </c>
      <c r="C167" s="175" t="s">
        <v>2869</v>
      </c>
      <c r="D167" s="175" t="s">
        <v>2755</v>
      </c>
      <c r="E167" s="173" t="s">
        <v>2543</v>
      </c>
      <c r="F167" s="173" t="s">
        <v>35</v>
      </c>
      <c r="G167" s="173" t="s">
        <v>2501</v>
      </c>
      <c r="H167" s="179"/>
      <c r="I167" s="174">
        <v>45327</v>
      </c>
      <c r="J167" s="173" t="s">
        <v>2662</v>
      </c>
      <c r="K167" s="173" t="s">
        <v>21</v>
      </c>
      <c r="L167" s="173" t="s">
        <v>20</v>
      </c>
      <c r="M167" s="188">
        <v>2</v>
      </c>
      <c r="N167" s="179" t="s">
        <v>681</v>
      </c>
      <c r="O167" s="185">
        <v>60</v>
      </c>
    </row>
    <row r="168" spans="1:15" ht="38.25">
      <c r="A168" s="173">
        <v>155</v>
      </c>
      <c r="B168" s="175" t="s">
        <v>2870</v>
      </c>
      <c r="C168" s="175" t="s">
        <v>2871</v>
      </c>
      <c r="D168" s="175" t="s">
        <v>2755</v>
      </c>
      <c r="E168" s="173" t="s">
        <v>2543</v>
      </c>
      <c r="F168" s="173" t="s">
        <v>35</v>
      </c>
      <c r="G168" s="173" t="s">
        <v>2501</v>
      </c>
      <c r="H168" s="179"/>
      <c r="I168" s="174">
        <v>45327</v>
      </c>
      <c r="J168" s="173" t="s">
        <v>2662</v>
      </c>
      <c r="K168" s="173" t="s">
        <v>169</v>
      </c>
      <c r="L168" s="173" t="s">
        <v>20</v>
      </c>
      <c r="M168" s="188">
        <v>15</v>
      </c>
      <c r="N168" s="179" t="s">
        <v>756</v>
      </c>
      <c r="O168" s="185">
        <v>105</v>
      </c>
    </row>
    <row r="169" spans="1:15" ht="25.5">
      <c r="A169" s="173">
        <v>156</v>
      </c>
      <c r="B169" s="175" t="s">
        <v>2872</v>
      </c>
      <c r="C169" s="175" t="s">
        <v>2873</v>
      </c>
      <c r="D169" s="175" t="s">
        <v>2755</v>
      </c>
      <c r="E169" s="173" t="s">
        <v>2543</v>
      </c>
      <c r="F169" s="173" t="s">
        <v>35</v>
      </c>
      <c r="G169" s="173" t="s">
        <v>2501</v>
      </c>
      <c r="H169" s="179"/>
      <c r="I169" s="174">
        <v>45327</v>
      </c>
      <c r="J169" s="173" t="s">
        <v>2662</v>
      </c>
      <c r="K169" s="173" t="s">
        <v>169</v>
      </c>
      <c r="L169" s="173" t="s">
        <v>20</v>
      </c>
      <c r="M169" s="188">
        <v>3</v>
      </c>
      <c r="N169" s="179" t="s">
        <v>681</v>
      </c>
      <c r="O169" s="185">
        <v>51</v>
      </c>
    </row>
    <row r="170" spans="1:15" ht="25.5">
      <c r="A170" s="173">
        <v>157</v>
      </c>
      <c r="B170" s="175" t="s">
        <v>2874</v>
      </c>
      <c r="C170" s="175" t="s">
        <v>2875</v>
      </c>
      <c r="D170" s="175" t="s">
        <v>2755</v>
      </c>
      <c r="E170" s="173" t="s">
        <v>2543</v>
      </c>
      <c r="F170" s="173" t="s">
        <v>35</v>
      </c>
      <c r="G170" s="173" t="s">
        <v>2501</v>
      </c>
      <c r="H170" s="179"/>
      <c r="I170" s="174">
        <v>45327</v>
      </c>
      <c r="J170" s="173" t="s">
        <v>2662</v>
      </c>
      <c r="K170" s="173" t="s">
        <v>21</v>
      </c>
      <c r="L170" s="173" t="s">
        <v>20</v>
      </c>
      <c r="M170" s="188">
        <v>1</v>
      </c>
      <c r="N170" s="179" t="s">
        <v>756</v>
      </c>
      <c r="O170" s="185">
        <v>100</v>
      </c>
    </row>
    <row r="171" spans="1:15">
      <c r="A171" s="176"/>
      <c r="B171" s="177" t="s">
        <v>2876</v>
      </c>
      <c r="C171" s="177" t="s">
        <v>2876</v>
      </c>
      <c r="D171" s="176"/>
      <c r="E171" s="176"/>
      <c r="F171" s="176"/>
      <c r="G171" s="176"/>
      <c r="H171" s="178"/>
      <c r="I171" s="178"/>
      <c r="J171" s="176"/>
      <c r="K171" s="176"/>
      <c r="L171" s="176"/>
      <c r="M171" s="187"/>
      <c r="N171" s="189"/>
      <c r="O171" s="184"/>
    </row>
    <row r="172" spans="1:15" ht="51">
      <c r="A172" s="173">
        <v>158</v>
      </c>
      <c r="B172" s="175" t="s">
        <v>2877</v>
      </c>
      <c r="C172" s="175" t="s">
        <v>2878</v>
      </c>
      <c r="D172" s="175" t="s">
        <v>2879</v>
      </c>
      <c r="E172" s="173" t="s">
        <v>2543</v>
      </c>
      <c r="F172" s="173" t="s">
        <v>168</v>
      </c>
      <c r="G172" s="179" t="s">
        <v>2501</v>
      </c>
      <c r="H172" s="179"/>
      <c r="I172" s="174">
        <v>45390</v>
      </c>
      <c r="J172" s="173" t="s">
        <v>2662</v>
      </c>
      <c r="K172" s="173" t="s">
        <v>21</v>
      </c>
      <c r="L172" s="173" t="s">
        <v>20</v>
      </c>
      <c r="M172" s="188">
        <v>2</v>
      </c>
      <c r="N172" s="179" t="s">
        <v>756</v>
      </c>
      <c r="O172" s="186">
        <v>500</v>
      </c>
    </row>
    <row r="173" spans="1:15" ht="38.25">
      <c r="A173" s="173">
        <v>159</v>
      </c>
      <c r="B173" s="175" t="s">
        <v>2880</v>
      </c>
      <c r="C173" s="175" t="s">
        <v>2881</v>
      </c>
      <c r="D173" s="175" t="s">
        <v>2882</v>
      </c>
      <c r="E173" s="173" t="s">
        <v>2543</v>
      </c>
      <c r="F173" s="173" t="s">
        <v>168</v>
      </c>
      <c r="G173" s="179" t="s">
        <v>2501</v>
      </c>
      <c r="H173" s="179"/>
      <c r="I173" s="174">
        <v>45313</v>
      </c>
      <c r="J173" s="173" t="s">
        <v>2662</v>
      </c>
      <c r="K173" s="173" t="s">
        <v>21</v>
      </c>
      <c r="L173" s="173" t="s">
        <v>20</v>
      </c>
      <c r="M173" s="188">
        <v>4</v>
      </c>
      <c r="N173" s="179" t="s">
        <v>756</v>
      </c>
      <c r="O173" s="186">
        <v>1600</v>
      </c>
    </row>
    <row r="174" spans="1:15" ht="38.25">
      <c r="A174" s="173">
        <v>160</v>
      </c>
      <c r="B174" s="175" t="s">
        <v>2883</v>
      </c>
      <c r="C174" s="175" t="s">
        <v>2884</v>
      </c>
      <c r="D174" s="175" t="s">
        <v>2882</v>
      </c>
      <c r="E174" s="173" t="s">
        <v>2543</v>
      </c>
      <c r="F174" s="173" t="s">
        <v>168</v>
      </c>
      <c r="G174" s="179" t="s">
        <v>2501</v>
      </c>
      <c r="H174" s="179"/>
      <c r="I174" s="174">
        <v>45390</v>
      </c>
      <c r="J174" s="173" t="s">
        <v>2662</v>
      </c>
      <c r="K174" s="173" t="s">
        <v>21</v>
      </c>
      <c r="L174" s="173" t="s">
        <v>20</v>
      </c>
      <c r="M174" s="188">
        <v>1</v>
      </c>
      <c r="N174" s="179" t="s">
        <v>756</v>
      </c>
      <c r="O174" s="186">
        <v>800</v>
      </c>
    </row>
    <row r="175" spans="1:15" ht="38.25">
      <c r="A175" s="173">
        <v>161</v>
      </c>
      <c r="B175" s="175" t="s">
        <v>2885</v>
      </c>
      <c r="C175" s="175" t="s">
        <v>2886</v>
      </c>
      <c r="D175" s="175" t="s">
        <v>2882</v>
      </c>
      <c r="E175" s="173" t="s">
        <v>2543</v>
      </c>
      <c r="F175" s="173" t="s">
        <v>168</v>
      </c>
      <c r="G175" s="179" t="s">
        <v>2501</v>
      </c>
      <c r="H175" s="179"/>
      <c r="I175" s="174">
        <v>45390</v>
      </c>
      <c r="J175" s="173" t="s">
        <v>2662</v>
      </c>
      <c r="K175" s="173" t="s">
        <v>21</v>
      </c>
      <c r="L175" s="173" t="s">
        <v>20</v>
      </c>
      <c r="M175" s="188">
        <v>1</v>
      </c>
      <c r="N175" s="179" t="s">
        <v>756</v>
      </c>
      <c r="O175" s="186">
        <v>400</v>
      </c>
    </row>
    <row r="176" spans="1:15" ht="38.25">
      <c r="A176" s="173">
        <v>162</v>
      </c>
      <c r="B176" s="175" t="s">
        <v>2887</v>
      </c>
      <c r="C176" s="175" t="s">
        <v>2888</v>
      </c>
      <c r="D176" s="175" t="s">
        <v>2889</v>
      </c>
      <c r="E176" s="173" t="s">
        <v>2543</v>
      </c>
      <c r="F176" s="173" t="s">
        <v>168</v>
      </c>
      <c r="G176" s="179" t="s">
        <v>2501</v>
      </c>
      <c r="H176" s="179"/>
      <c r="I176" s="174">
        <v>45432</v>
      </c>
      <c r="J176" s="173" t="s">
        <v>2662</v>
      </c>
      <c r="K176" s="173" t="s">
        <v>21</v>
      </c>
      <c r="L176" s="173" t="s">
        <v>20</v>
      </c>
      <c r="M176" s="188">
        <v>20</v>
      </c>
      <c r="N176" s="179" t="s">
        <v>2890</v>
      </c>
      <c r="O176" s="186">
        <v>40000</v>
      </c>
    </row>
    <row r="177" spans="1:15" ht="38.25">
      <c r="A177" s="173">
        <v>163</v>
      </c>
      <c r="B177" s="175" t="s">
        <v>2891</v>
      </c>
      <c r="C177" s="175" t="s">
        <v>2892</v>
      </c>
      <c r="D177" s="175" t="s">
        <v>2889</v>
      </c>
      <c r="E177" s="173" t="s">
        <v>2543</v>
      </c>
      <c r="F177" s="173" t="s">
        <v>168</v>
      </c>
      <c r="G177" s="179" t="s">
        <v>2501</v>
      </c>
      <c r="H177" s="179"/>
      <c r="I177" s="174">
        <v>45390</v>
      </c>
      <c r="J177" s="173" t="s">
        <v>2662</v>
      </c>
      <c r="K177" s="173" t="s">
        <v>21</v>
      </c>
      <c r="L177" s="173" t="s">
        <v>20</v>
      </c>
      <c r="M177" s="188">
        <v>25</v>
      </c>
      <c r="N177" s="179" t="s">
        <v>756</v>
      </c>
      <c r="O177" s="186">
        <v>8750</v>
      </c>
    </row>
    <row r="178" spans="1:15" ht="38.25">
      <c r="A178" s="173">
        <v>164</v>
      </c>
      <c r="B178" s="175" t="s">
        <v>2893</v>
      </c>
      <c r="C178" s="175" t="s">
        <v>2894</v>
      </c>
      <c r="D178" s="175" t="s">
        <v>2889</v>
      </c>
      <c r="E178" s="173" t="s">
        <v>2543</v>
      </c>
      <c r="F178" s="173" t="s">
        <v>168</v>
      </c>
      <c r="G178" s="179" t="s">
        <v>2501</v>
      </c>
      <c r="H178" s="179"/>
      <c r="I178" s="174">
        <v>45432</v>
      </c>
      <c r="J178" s="173" t="s">
        <v>2662</v>
      </c>
      <c r="K178" s="173" t="s">
        <v>21</v>
      </c>
      <c r="L178" s="173" t="s">
        <v>20</v>
      </c>
      <c r="M178" s="188">
        <v>3</v>
      </c>
      <c r="N178" s="179" t="s">
        <v>756</v>
      </c>
      <c r="O178" s="186">
        <v>1800</v>
      </c>
    </row>
    <row r="179" spans="1:15" ht="38.25">
      <c r="A179" s="173">
        <v>165</v>
      </c>
      <c r="B179" s="175" t="s">
        <v>2895</v>
      </c>
      <c r="C179" s="175" t="s">
        <v>2896</v>
      </c>
      <c r="D179" s="175" t="s">
        <v>2889</v>
      </c>
      <c r="E179" s="173" t="s">
        <v>2543</v>
      </c>
      <c r="F179" s="173" t="s">
        <v>168</v>
      </c>
      <c r="G179" s="179" t="s">
        <v>2501</v>
      </c>
      <c r="H179" s="179"/>
      <c r="I179" s="174">
        <v>45432</v>
      </c>
      <c r="J179" s="173" t="s">
        <v>2662</v>
      </c>
      <c r="K179" s="173" t="s">
        <v>21</v>
      </c>
      <c r="L179" s="173" t="s">
        <v>20</v>
      </c>
      <c r="M179" s="188">
        <v>5</v>
      </c>
      <c r="N179" s="179" t="s">
        <v>756</v>
      </c>
      <c r="O179" s="186">
        <v>7000</v>
      </c>
    </row>
    <row r="180" spans="1:15" ht="38.25">
      <c r="A180" s="173">
        <v>166</v>
      </c>
      <c r="B180" s="175" t="s">
        <v>2897</v>
      </c>
      <c r="C180" s="175" t="s">
        <v>2898</v>
      </c>
      <c r="D180" s="175" t="s">
        <v>2889</v>
      </c>
      <c r="E180" s="173" t="s">
        <v>2543</v>
      </c>
      <c r="F180" s="173" t="s">
        <v>168</v>
      </c>
      <c r="G180" s="179" t="s">
        <v>2501</v>
      </c>
      <c r="H180" s="179"/>
      <c r="I180" s="174">
        <v>45390</v>
      </c>
      <c r="J180" s="173" t="s">
        <v>2662</v>
      </c>
      <c r="K180" s="173" t="s">
        <v>21</v>
      </c>
      <c r="L180" s="173" t="s">
        <v>20</v>
      </c>
      <c r="M180" s="188">
        <v>25</v>
      </c>
      <c r="N180" s="179" t="s">
        <v>756</v>
      </c>
      <c r="O180" s="186">
        <v>1250</v>
      </c>
    </row>
    <row r="181" spans="1:15">
      <c r="A181" s="176"/>
      <c r="B181" s="177" t="s">
        <v>2899</v>
      </c>
      <c r="C181" s="177" t="s">
        <v>2899</v>
      </c>
      <c r="D181" s="176"/>
      <c r="E181" s="176"/>
      <c r="F181" s="176"/>
      <c r="G181" s="176"/>
      <c r="H181" s="178"/>
      <c r="I181" s="178"/>
      <c r="J181" s="176"/>
      <c r="K181" s="176"/>
      <c r="L181" s="176"/>
      <c r="M181" s="187"/>
      <c r="N181" s="189"/>
      <c r="O181" s="184"/>
    </row>
    <row r="182" spans="1:15" ht="38.25">
      <c r="A182" s="173">
        <v>167</v>
      </c>
      <c r="B182" s="175" t="s">
        <v>2900</v>
      </c>
      <c r="C182" s="175" t="s">
        <v>2901</v>
      </c>
      <c r="D182" s="175" t="s">
        <v>2902</v>
      </c>
      <c r="E182" s="173" t="s">
        <v>2543</v>
      </c>
      <c r="F182" s="173" t="s">
        <v>168</v>
      </c>
      <c r="G182" s="179" t="s">
        <v>2501</v>
      </c>
      <c r="H182" s="179"/>
      <c r="I182" s="174">
        <v>45432</v>
      </c>
      <c r="J182" s="173" t="s">
        <v>2662</v>
      </c>
      <c r="K182" s="173" t="s">
        <v>21</v>
      </c>
      <c r="L182" s="173" t="s">
        <v>20</v>
      </c>
      <c r="M182" s="188">
        <v>4</v>
      </c>
      <c r="N182" s="179" t="s">
        <v>756</v>
      </c>
      <c r="O182" s="186">
        <v>200</v>
      </c>
    </row>
    <row r="183" spans="1:15" ht="38.25">
      <c r="A183" s="173">
        <v>168</v>
      </c>
      <c r="B183" s="175" t="s">
        <v>2903</v>
      </c>
      <c r="C183" s="175" t="s">
        <v>2904</v>
      </c>
      <c r="D183" s="175" t="s">
        <v>2902</v>
      </c>
      <c r="E183" s="173" t="s">
        <v>2543</v>
      </c>
      <c r="F183" s="173" t="s">
        <v>168</v>
      </c>
      <c r="G183" s="179" t="s">
        <v>2501</v>
      </c>
      <c r="H183" s="179"/>
      <c r="I183" s="174">
        <v>45432</v>
      </c>
      <c r="J183" s="173" t="s">
        <v>2662</v>
      </c>
      <c r="K183" s="173" t="s">
        <v>169</v>
      </c>
      <c r="L183" s="173" t="s">
        <v>20</v>
      </c>
      <c r="M183" s="188">
        <v>4</v>
      </c>
      <c r="N183" s="179" t="s">
        <v>756</v>
      </c>
      <c r="O183" s="186">
        <v>1600</v>
      </c>
    </row>
    <row r="184" spans="1:15" ht="38.25">
      <c r="A184" s="173">
        <v>169</v>
      </c>
      <c r="B184" s="175" t="s">
        <v>2905</v>
      </c>
      <c r="C184" s="175" t="s">
        <v>2906</v>
      </c>
      <c r="D184" s="175" t="s">
        <v>2902</v>
      </c>
      <c r="E184" s="173" t="s">
        <v>2543</v>
      </c>
      <c r="F184" s="173" t="s">
        <v>168</v>
      </c>
      <c r="G184" s="179" t="s">
        <v>2501</v>
      </c>
      <c r="H184" s="179"/>
      <c r="I184" s="174">
        <v>45432</v>
      </c>
      <c r="J184" s="173" t="s">
        <v>2662</v>
      </c>
      <c r="K184" s="173" t="s">
        <v>21</v>
      </c>
      <c r="L184" s="173" t="s">
        <v>20</v>
      </c>
      <c r="M184" s="188">
        <v>4</v>
      </c>
      <c r="N184" s="179" t="s">
        <v>756</v>
      </c>
      <c r="O184" s="186">
        <v>280</v>
      </c>
    </row>
    <row r="185" spans="1:15" ht="51">
      <c r="A185" s="173">
        <v>170</v>
      </c>
      <c r="B185" s="175" t="s">
        <v>2907</v>
      </c>
      <c r="C185" s="175" t="s">
        <v>2908</v>
      </c>
      <c r="D185" s="175" t="s">
        <v>2909</v>
      </c>
      <c r="E185" s="173" t="s">
        <v>25</v>
      </c>
      <c r="F185" s="173" t="s">
        <v>17</v>
      </c>
      <c r="G185" s="173" t="s">
        <v>2523</v>
      </c>
      <c r="H185" s="174">
        <v>45368</v>
      </c>
      <c r="I185" s="174"/>
      <c r="J185" s="175" t="s">
        <v>2910</v>
      </c>
      <c r="K185" s="173" t="s">
        <v>21</v>
      </c>
      <c r="L185" s="173" t="s">
        <v>20</v>
      </c>
      <c r="M185" s="188">
        <v>12</v>
      </c>
      <c r="N185" s="179" t="s">
        <v>2515</v>
      </c>
      <c r="O185" s="186">
        <v>4000000</v>
      </c>
    </row>
    <row r="186" spans="1:15" ht="38.25">
      <c r="A186" s="173">
        <v>171</v>
      </c>
      <c r="B186" s="175" t="s">
        <v>2911</v>
      </c>
      <c r="C186" s="175" t="s">
        <v>2912</v>
      </c>
      <c r="D186" s="175" t="s">
        <v>2913</v>
      </c>
      <c r="E186" s="173" t="s">
        <v>25</v>
      </c>
      <c r="F186" s="173" t="s">
        <v>246</v>
      </c>
      <c r="G186" s="173" t="s">
        <v>2501</v>
      </c>
      <c r="H186" s="174"/>
      <c r="I186" s="192" t="s">
        <v>2914</v>
      </c>
      <c r="J186" s="175" t="s">
        <v>2910</v>
      </c>
      <c r="K186" s="173" t="s">
        <v>21</v>
      </c>
      <c r="L186" s="173" t="s">
        <v>20</v>
      </c>
      <c r="M186" s="188">
        <v>40000</v>
      </c>
      <c r="N186" s="179" t="s">
        <v>2890</v>
      </c>
      <c r="O186" s="186">
        <v>10000000</v>
      </c>
    </row>
    <row r="187" spans="1:15" ht="38.25">
      <c r="A187" s="173">
        <v>172</v>
      </c>
      <c r="B187" s="175" t="s">
        <v>2915</v>
      </c>
      <c r="C187" s="175" t="s">
        <v>2916</v>
      </c>
      <c r="D187" s="175" t="s">
        <v>2917</v>
      </c>
      <c r="E187" s="173" t="s">
        <v>25</v>
      </c>
      <c r="F187" s="173" t="s">
        <v>246</v>
      </c>
      <c r="G187" s="173" t="s">
        <v>2501</v>
      </c>
      <c r="H187" s="174"/>
      <c r="I187" s="192" t="s">
        <v>2914</v>
      </c>
      <c r="J187" s="175" t="s">
        <v>2910</v>
      </c>
      <c r="K187" s="173" t="s">
        <v>21</v>
      </c>
      <c r="L187" s="173" t="s">
        <v>20</v>
      </c>
      <c r="M187" s="188">
        <v>79208</v>
      </c>
      <c r="N187" s="179" t="s">
        <v>2890</v>
      </c>
      <c r="O187" s="186">
        <v>8000000</v>
      </c>
    </row>
    <row r="188" spans="1:15" ht="51">
      <c r="A188" s="173">
        <v>173</v>
      </c>
      <c r="B188" s="175" t="s">
        <v>2918</v>
      </c>
      <c r="C188" s="175" t="s">
        <v>2919</v>
      </c>
      <c r="D188" s="175" t="s">
        <v>2920</v>
      </c>
      <c r="E188" s="173" t="s">
        <v>25</v>
      </c>
      <c r="F188" s="173" t="s">
        <v>246</v>
      </c>
      <c r="G188" s="173" t="s">
        <v>2501</v>
      </c>
      <c r="H188" s="174"/>
      <c r="I188" s="192" t="s">
        <v>2914</v>
      </c>
      <c r="J188" s="175" t="s">
        <v>2910</v>
      </c>
      <c r="K188" s="173" t="s">
        <v>21</v>
      </c>
      <c r="L188" s="173" t="s">
        <v>20</v>
      </c>
      <c r="M188" s="188">
        <v>1388</v>
      </c>
      <c r="N188" s="179" t="s">
        <v>2603</v>
      </c>
      <c r="O188" s="186">
        <v>5000000</v>
      </c>
    </row>
    <row r="189" spans="1:15" ht="38.25">
      <c r="A189" s="173">
        <v>174</v>
      </c>
      <c r="B189" s="175" t="s">
        <v>2921</v>
      </c>
      <c r="C189" s="175" t="s">
        <v>2922</v>
      </c>
      <c r="D189" s="175" t="s">
        <v>2923</v>
      </c>
      <c r="E189" s="173" t="s">
        <v>25</v>
      </c>
      <c r="F189" s="173" t="s">
        <v>17</v>
      </c>
      <c r="G189" s="173" t="s">
        <v>2501</v>
      </c>
      <c r="H189" s="174"/>
      <c r="I189" s="174">
        <v>45306</v>
      </c>
      <c r="J189" s="175" t="s">
        <v>2910</v>
      </c>
      <c r="K189" s="173" t="s">
        <v>21</v>
      </c>
      <c r="L189" s="173" t="s">
        <v>20</v>
      </c>
      <c r="M189" s="188">
        <v>27</v>
      </c>
      <c r="N189" s="191" t="s">
        <v>756</v>
      </c>
      <c r="O189" s="186">
        <v>5000000</v>
      </c>
    </row>
    <row r="190" spans="1:15" ht="38.25">
      <c r="A190" s="173">
        <v>175</v>
      </c>
      <c r="B190" s="175" t="s">
        <v>2924</v>
      </c>
      <c r="C190" s="175" t="s">
        <v>2925</v>
      </c>
      <c r="D190" s="175" t="s">
        <v>2926</v>
      </c>
      <c r="E190" s="173" t="s">
        <v>25</v>
      </c>
      <c r="F190" s="173" t="s">
        <v>17</v>
      </c>
      <c r="G190" s="173" t="s">
        <v>2501</v>
      </c>
      <c r="H190" s="174"/>
      <c r="I190" s="192" t="s">
        <v>2914</v>
      </c>
      <c r="J190" s="175" t="s">
        <v>2910</v>
      </c>
      <c r="K190" s="173" t="s">
        <v>21</v>
      </c>
      <c r="L190" s="173" t="s">
        <v>20</v>
      </c>
      <c r="M190" s="188">
        <v>1</v>
      </c>
      <c r="N190" s="179" t="s">
        <v>756</v>
      </c>
      <c r="O190" s="186">
        <v>18000000</v>
      </c>
    </row>
    <row r="191" spans="1:15" ht="51">
      <c r="A191" s="173">
        <v>176</v>
      </c>
      <c r="B191" s="175" t="s">
        <v>2927</v>
      </c>
      <c r="C191" s="175" t="s">
        <v>2928</v>
      </c>
      <c r="D191" s="175" t="s">
        <v>2929</v>
      </c>
      <c r="E191" s="173" t="s">
        <v>25</v>
      </c>
      <c r="F191" s="173" t="s">
        <v>246</v>
      </c>
      <c r="G191" s="173" t="s">
        <v>2501</v>
      </c>
      <c r="H191" s="174"/>
      <c r="I191" s="192" t="s">
        <v>2914</v>
      </c>
      <c r="J191" s="175" t="s">
        <v>2910</v>
      </c>
      <c r="K191" s="173" t="s">
        <v>21</v>
      </c>
      <c r="L191" s="173" t="s">
        <v>20</v>
      </c>
      <c r="M191" s="188">
        <v>1</v>
      </c>
      <c r="N191" s="191" t="s">
        <v>756</v>
      </c>
      <c r="O191" s="186">
        <v>30000000</v>
      </c>
    </row>
    <row r="192" spans="1:15" ht="76.5">
      <c r="A192" s="173">
        <v>177</v>
      </c>
      <c r="B192" s="175" t="s">
        <v>2930</v>
      </c>
      <c r="C192" s="175" t="s">
        <v>2931</v>
      </c>
      <c r="D192" s="175" t="s">
        <v>2932</v>
      </c>
      <c r="E192" s="173" t="s">
        <v>25</v>
      </c>
      <c r="F192" s="173" t="s">
        <v>246</v>
      </c>
      <c r="G192" s="173" t="s">
        <v>2501</v>
      </c>
      <c r="H192" s="174"/>
      <c r="I192" s="192" t="s">
        <v>2914</v>
      </c>
      <c r="J192" s="175" t="s">
        <v>2910</v>
      </c>
      <c r="K192" s="173" t="s">
        <v>21</v>
      </c>
      <c r="L192" s="173" t="s">
        <v>2933</v>
      </c>
      <c r="M192" s="188">
        <v>4</v>
      </c>
      <c r="N192" s="191" t="s">
        <v>2934</v>
      </c>
      <c r="O192" s="186">
        <v>2000000</v>
      </c>
    </row>
    <row r="193" spans="1:15" ht="76.5">
      <c r="A193" s="173">
        <v>178</v>
      </c>
      <c r="B193" s="175" t="s">
        <v>2935</v>
      </c>
      <c r="C193" s="175" t="s">
        <v>2936</v>
      </c>
      <c r="D193" s="175" t="s">
        <v>2937</v>
      </c>
      <c r="E193" s="173" t="s">
        <v>25</v>
      </c>
      <c r="F193" s="173" t="s">
        <v>246</v>
      </c>
      <c r="G193" s="173" t="s">
        <v>2501</v>
      </c>
      <c r="H193" s="174"/>
      <c r="I193" s="192" t="s">
        <v>2914</v>
      </c>
      <c r="J193" s="175" t="s">
        <v>2910</v>
      </c>
      <c r="K193" s="173" t="s">
        <v>21</v>
      </c>
      <c r="L193" s="173" t="s">
        <v>2933</v>
      </c>
      <c r="M193" s="188">
        <v>10</v>
      </c>
      <c r="N193" s="191" t="s">
        <v>2938</v>
      </c>
      <c r="O193" s="186">
        <v>30000000</v>
      </c>
    </row>
    <row r="194" spans="1:15" ht="76.5">
      <c r="A194" s="173">
        <v>179</v>
      </c>
      <c r="B194" s="175" t="s">
        <v>2939</v>
      </c>
      <c r="C194" s="175" t="s">
        <v>2940</v>
      </c>
      <c r="D194" s="175" t="s">
        <v>2941</v>
      </c>
      <c r="E194" s="173" t="s">
        <v>25</v>
      </c>
      <c r="F194" s="173" t="s">
        <v>246</v>
      </c>
      <c r="G194" s="173" t="s">
        <v>2501</v>
      </c>
      <c r="H194" s="174"/>
      <c r="I194" s="192" t="s">
        <v>2914</v>
      </c>
      <c r="J194" s="175" t="s">
        <v>2910</v>
      </c>
      <c r="K194" s="173" t="s">
        <v>21</v>
      </c>
      <c r="L194" s="173" t="s">
        <v>2933</v>
      </c>
      <c r="M194" s="188">
        <v>4</v>
      </c>
      <c r="N194" s="191" t="s">
        <v>2938</v>
      </c>
      <c r="O194" s="186">
        <v>30000000</v>
      </c>
    </row>
    <row r="195" spans="1:15" ht="89.25">
      <c r="A195" s="173">
        <v>180</v>
      </c>
      <c r="B195" s="175" t="s">
        <v>2942</v>
      </c>
      <c r="C195" s="175" t="s">
        <v>2943</v>
      </c>
      <c r="D195" s="175" t="s">
        <v>2944</v>
      </c>
      <c r="E195" s="173" t="s">
        <v>25</v>
      </c>
      <c r="F195" s="173" t="s">
        <v>246</v>
      </c>
      <c r="G195" s="173" t="s">
        <v>2501</v>
      </c>
      <c r="H195" s="174"/>
      <c r="I195" s="192" t="s">
        <v>2914</v>
      </c>
      <c r="J195" s="175" t="s">
        <v>2910</v>
      </c>
      <c r="K195" s="173" t="s">
        <v>21</v>
      </c>
      <c r="L195" s="173" t="s">
        <v>20</v>
      </c>
      <c r="M195" s="188">
        <v>25</v>
      </c>
      <c r="N195" s="179" t="s">
        <v>2945</v>
      </c>
      <c r="O195" s="186">
        <v>12500000</v>
      </c>
    </row>
    <row r="196" spans="1:15" ht="38.25">
      <c r="A196" s="176"/>
      <c r="B196" s="183" t="s">
        <v>2946</v>
      </c>
      <c r="C196" s="183" t="s">
        <v>2946</v>
      </c>
      <c r="D196" s="176"/>
      <c r="E196" s="176"/>
      <c r="F196" s="176"/>
      <c r="G196" s="176"/>
      <c r="H196" s="178"/>
      <c r="I196" s="178"/>
      <c r="J196" s="176"/>
      <c r="K196" s="176"/>
      <c r="L196" s="176"/>
      <c r="M196" s="187"/>
      <c r="N196" s="189"/>
      <c r="O196" s="184"/>
    </row>
  </sheetData>
  <mergeCells count="15">
    <mergeCell ref="N1:N2"/>
    <mergeCell ref="O1:O2"/>
    <mergeCell ref="J1:J2"/>
    <mergeCell ref="K1:K2"/>
    <mergeCell ref="L1:L2"/>
    <mergeCell ref="M1:M2"/>
    <mergeCell ref="I1:I2"/>
    <mergeCell ref="A1:A2"/>
    <mergeCell ref="B1:B2"/>
    <mergeCell ref="D1:D2"/>
    <mergeCell ref="G1:G2"/>
    <mergeCell ref="H1:H2"/>
    <mergeCell ref="E1:E2"/>
    <mergeCell ref="F1:F2"/>
    <mergeCell ref="C1:C2"/>
  </mergeCells>
  <pageMargins left="0.511811024" right="0.511811024" top="0.78740157499999996" bottom="0.78740157499999996" header="0.31496062000000002" footer="0.3149606200000000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6F350-5467-43B7-840B-94E9727F0DF4}">
  <dimension ref="A1:N49"/>
  <sheetViews>
    <sheetView workbookViewId="0">
      <selection activeCell="P4" sqref="P4"/>
    </sheetView>
  </sheetViews>
  <sheetFormatPr defaultRowHeight="15"/>
  <cols>
    <col min="2" max="2" width="40.42578125" bestFit="1" customWidth="1"/>
  </cols>
  <sheetData>
    <row r="1" spans="1:14" ht="46.5">
      <c r="A1" s="49" t="s">
        <v>0</v>
      </c>
      <c r="B1" s="49" t="s">
        <v>409</v>
      </c>
      <c r="C1" s="49" t="s">
        <v>410</v>
      </c>
      <c r="D1" s="49" t="s">
        <v>1</v>
      </c>
      <c r="E1" s="49" t="s">
        <v>582</v>
      </c>
      <c r="F1" s="49" t="s">
        <v>8</v>
      </c>
      <c r="G1" s="49" t="s">
        <v>412</v>
      </c>
      <c r="H1" s="49" t="s">
        <v>753</v>
      </c>
      <c r="I1" s="67" t="s">
        <v>3</v>
      </c>
      <c r="J1" s="59" t="s">
        <v>4</v>
      </c>
      <c r="K1" s="59" t="s">
        <v>5</v>
      </c>
      <c r="L1" s="59" t="s">
        <v>413</v>
      </c>
      <c r="M1" s="59" t="s">
        <v>7</v>
      </c>
      <c r="N1" s="59" t="s">
        <v>12</v>
      </c>
    </row>
    <row r="2" spans="1:14" ht="60.75">
      <c r="A2" s="50">
        <v>1</v>
      </c>
      <c r="B2" s="56" t="s">
        <v>754</v>
      </c>
      <c r="C2" s="48" t="s">
        <v>34</v>
      </c>
      <c r="D2" s="48" t="s">
        <v>755</v>
      </c>
      <c r="E2" s="48">
        <v>12</v>
      </c>
      <c r="F2" s="48" t="s">
        <v>756</v>
      </c>
      <c r="G2" s="48" t="s">
        <v>757</v>
      </c>
      <c r="H2" s="54">
        <v>1.2</v>
      </c>
      <c r="I2" s="68">
        <v>14.399999999999999</v>
      </c>
      <c r="J2" s="48" t="s">
        <v>758</v>
      </c>
      <c r="K2" s="48" t="s">
        <v>21</v>
      </c>
      <c r="L2" s="48" t="s">
        <v>758</v>
      </c>
      <c r="M2" s="48" t="s">
        <v>758</v>
      </c>
      <c r="N2" s="71" t="s">
        <v>2947</v>
      </c>
    </row>
    <row r="3" spans="1:14" ht="60.75">
      <c r="A3" s="50">
        <v>2</v>
      </c>
      <c r="B3" s="56" t="s">
        <v>760</v>
      </c>
      <c r="C3" s="48" t="s">
        <v>34</v>
      </c>
      <c r="D3" s="48" t="s">
        <v>755</v>
      </c>
      <c r="E3" s="52">
        <v>12</v>
      </c>
      <c r="F3" s="48" t="s">
        <v>756</v>
      </c>
      <c r="G3" s="48" t="s">
        <v>757</v>
      </c>
      <c r="H3" s="54">
        <v>1.2</v>
      </c>
      <c r="I3" s="68">
        <v>14.399999999999999</v>
      </c>
      <c r="J3" s="48" t="s">
        <v>758</v>
      </c>
      <c r="K3" s="48" t="s">
        <v>21</v>
      </c>
      <c r="L3" s="48" t="s">
        <v>758</v>
      </c>
      <c r="M3" s="48" t="s">
        <v>758</v>
      </c>
      <c r="N3" s="71" t="s">
        <v>2947</v>
      </c>
    </row>
    <row r="4" spans="1:14" ht="60.75">
      <c r="A4" s="50">
        <v>3</v>
      </c>
      <c r="B4" s="56" t="s">
        <v>761</v>
      </c>
      <c r="C4" s="48" t="s">
        <v>34</v>
      </c>
      <c r="D4" s="48" t="s">
        <v>755</v>
      </c>
      <c r="E4" s="48">
        <v>6</v>
      </c>
      <c r="F4" s="48" t="s">
        <v>756</v>
      </c>
      <c r="G4" s="48" t="s">
        <v>757</v>
      </c>
      <c r="H4" s="54">
        <v>1.2</v>
      </c>
      <c r="I4" s="68">
        <v>7.1999999999999993</v>
      </c>
      <c r="J4" s="48" t="s">
        <v>758</v>
      </c>
      <c r="K4" s="48" t="s">
        <v>21</v>
      </c>
      <c r="L4" s="48" t="s">
        <v>758</v>
      </c>
      <c r="M4" s="48" t="s">
        <v>758</v>
      </c>
      <c r="N4" s="71" t="s">
        <v>2947</v>
      </c>
    </row>
    <row r="5" spans="1:14" ht="60.75">
      <c r="A5" s="50">
        <v>4</v>
      </c>
      <c r="B5" s="56" t="s">
        <v>762</v>
      </c>
      <c r="C5" s="48" t="s">
        <v>34</v>
      </c>
      <c r="D5" s="48" t="s">
        <v>755</v>
      </c>
      <c r="E5" s="48">
        <v>6</v>
      </c>
      <c r="F5" s="48" t="s">
        <v>756</v>
      </c>
      <c r="G5" s="48" t="s">
        <v>757</v>
      </c>
      <c r="H5" s="54">
        <v>1.8</v>
      </c>
      <c r="I5" s="68">
        <v>10.8</v>
      </c>
      <c r="J5" s="48" t="s">
        <v>758</v>
      </c>
      <c r="K5" s="48" t="s">
        <v>21</v>
      </c>
      <c r="L5" s="48" t="s">
        <v>758</v>
      </c>
      <c r="M5" s="48" t="s">
        <v>758</v>
      </c>
      <c r="N5" s="71" t="s">
        <v>2947</v>
      </c>
    </row>
    <row r="6" spans="1:14" ht="60.75">
      <c r="A6" s="50">
        <v>5</v>
      </c>
      <c r="B6" s="56" t="s">
        <v>763</v>
      </c>
      <c r="C6" s="48" t="s">
        <v>34</v>
      </c>
      <c r="D6" s="48" t="s">
        <v>755</v>
      </c>
      <c r="E6" s="48">
        <v>6</v>
      </c>
      <c r="F6" s="48" t="s">
        <v>756</v>
      </c>
      <c r="G6" s="48" t="s">
        <v>757</v>
      </c>
      <c r="H6" s="54">
        <v>1.8</v>
      </c>
      <c r="I6" s="68">
        <v>10.8</v>
      </c>
      <c r="J6" s="48" t="s">
        <v>758</v>
      </c>
      <c r="K6" s="48" t="s">
        <v>21</v>
      </c>
      <c r="L6" s="48" t="s">
        <v>758</v>
      </c>
      <c r="M6" s="48" t="s">
        <v>758</v>
      </c>
      <c r="N6" s="71" t="s">
        <v>2947</v>
      </c>
    </row>
    <row r="7" spans="1:14" ht="60.75">
      <c r="A7" s="50">
        <v>6</v>
      </c>
      <c r="B7" s="56" t="s">
        <v>764</v>
      </c>
      <c r="C7" s="48" t="s">
        <v>34</v>
      </c>
      <c r="D7" s="48" t="s">
        <v>755</v>
      </c>
      <c r="E7" s="48">
        <v>6</v>
      </c>
      <c r="F7" s="48" t="s">
        <v>765</v>
      </c>
      <c r="G7" s="48" t="s">
        <v>757</v>
      </c>
      <c r="H7" s="54">
        <v>1.8</v>
      </c>
      <c r="I7" s="68">
        <v>10.8</v>
      </c>
      <c r="J7" s="48" t="s">
        <v>758</v>
      </c>
      <c r="K7" s="48" t="s">
        <v>21</v>
      </c>
      <c r="L7" s="48" t="s">
        <v>758</v>
      </c>
      <c r="M7" s="48" t="s">
        <v>758</v>
      </c>
      <c r="N7" s="71" t="s">
        <v>2947</v>
      </c>
    </row>
    <row r="8" spans="1:14" ht="60.75">
      <c r="A8" s="50">
        <v>7</v>
      </c>
      <c r="B8" s="57" t="s">
        <v>766</v>
      </c>
      <c r="C8" s="48" t="s">
        <v>34</v>
      </c>
      <c r="D8" s="48" t="s">
        <v>755</v>
      </c>
      <c r="E8" s="48">
        <v>6</v>
      </c>
      <c r="F8" s="48" t="s">
        <v>756</v>
      </c>
      <c r="G8" s="48" t="s">
        <v>757</v>
      </c>
      <c r="H8" s="54">
        <v>1.9</v>
      </c>
      <c r="I8" s="68">
        <v>11.399999999999999</v>
      </c>
      <c r="J8" s="48" t="s">
        <v>758</v>
      </c>
      <c r="K8" s="48" t="s">
        <v>21</v>
      </c>
      <c r="L8" s="48" t="s">
        <v>758</v>
      </c>
      <c r="M8" s="48" t="s">
        <v>758</v>
      </c>
      <c r="N8" s="71" t="s">
        <v>2947</v>
      </c>
    </row>
    <row r="9" spans="1:14" ht="60.75">
      <c r="A9" s="50">
        <v>8</v>
      </c>
      <c r="B9" s="57" t="s">
        <v>767</v>
      </c>
      <c r="C9" s="48" t="s">
        <v>34</v>
      </c>
      <c r="D9" s="48" t="s">
        <v>755</v>
      </c>
      <c r="E9" s="48">
        <v>6</v>
      </c>
      <c r="F9" s="48" t="s">
        <v>756</v>
      </c>
      <c r="G9" s="48" t="s">
        <v>757</v>
      </c>
      <c r="H9" s="54">
        <v>1.9</v>
      </c>
      <c r="I9" s="68">
        <v>11.399999999999999</v>
      </c>
      <c r="J9" s="48" t="s">
        <v>758</v>
      </c>
      <c r="K9" s="48" t="s">
        <v>21</v>
      </c>
      <c r="L9" s="48" t="s">
        <v>758</v>
      </c>
      <c r="M9" s="48" t="s">
        <v>758</v>
      </c>
      <c r="N9" s="71" t="s">
        <v>2947</v>
      </c>
    </row>
    <row r="10" spans="1:14" ht="60.75">
      <c r="A10" s="50">
        <v>9</v>
      </c>
      <c r="B10" s="57" t="s">
        <v>768</v>
      </c>
      <c r="C10" s="48" t="s">
        <v>34</v>
      </c>
      <c r="D10" s="48" t="s">
        <v>755</v>
      </c>
      <c r="E10" s="48">
        <v>6</v>
      </c>
      <c r="F10" s="48" t="s">
        <v>756</v>
      </c>
      <c r="G10" s="48" t="s">
        <v>757</v>
      </c>
      <c r="H10" s="54">
        <v>1.9</v>
      </c>
      <c r="I10" s="68">
        <v>11.399999999999999</v>
      </c>
      <c r="J10" s="48" t="s">
        <v>758</v>
      </c>
      <c r="K10" s="48" t="s">
        <v>21</v>
      </c>
      <c r="L10" s="48" t="s">
        <v>758</v>
      </c>
      <c r="M10" s="48" t="s">
        <v>758</v>
      </c>
      <c r="N10" s="71" t="s">
        <v>2947</v>
      </c>
    </row>
    <row r="11" spans="1:14" ht="60.75">
      <c r="A11" s="50">
        <v>10</v>
      </c>
      <c r="B11" s="56" t="s">
        <v>769</v>
      </c>
      <c r="C11" s="48" t="s">
        <v>34</v>
      </c>
      <c r="D11" s="48" t="s">
        <v>755</v>
      </c>
      <c r="E11" s="48">
        <v>12</v>
      </c>
      <c r="F11" s="48" t="s">
        <v>756</v>
      </c>
      <c r="G11" s="48" t="s">
        <v>757</v>
      </c>
      <c r="H11" s="54">
        <v>1</v>
      </c>
      <c r="I11" s="68">
        <v>12</v>
      </c>
      <c r="J11" s="48" t="s">
        <v>758</v>
      </c>
      <c r="K11" s="48" t="s">
        <v>21</v>
      </c>
      <c r="L11" s="48" t="s">
        <v>758</v>
      </c>
      <c r="M11" s="48" t="s">
        <v>758</v>
      </c>
      <c r="N11" s="71" t="s">
        <v>2947</v>
      </c>
    </row>
    <row r="12" spans="1:14" ht="60.75">
      <c r="A12" s="50">
        <v>10</v>
      </c>
      <c r="B12" s="56" t="s">
        <v>770</v>
      </c>
      <c r="C12" s="48" t="s">
        <v>34</v>
      </c>
      <c r="D12" s="48" t="s">
        <v>755</v>
      </c>
      <c r="E12" s="48">
        <v>10</v>
      </c>
      <c r="F12" s="48" t="s">
        <v>765</v>
      </c>
      <c r="G12" s="48" t="s">
        <v>757</v>
      </c>
      <c r="H12" s="54">
        <v>32.9</v>
      </c>
      <c r="I12" s="68">
        <v>329</v>
      </c>
      <c r="J12" s="48" t="s">
        <v>758</v>
      </c>
      <c r="K12" s="48" t="s">
        <v>21</v>
      </c>
      <c r="L12" s="48" t="s">
        <v>758</v>
      </c>
      <c r="M12" s="48" t="s">
        <v>758</v>
      </c>
      <c r="N12" s="71" t="s">
        <v>2947</v>
      </c>
    </row>
    <row r="13" spans="1:14" ht="60.75">
      <c r="A13" s="50">
        <v>12</v>
      </c>
      <c r="B13" s="56" t="s">
        <v>771</v>
      </c>
      <c r="C13" s="48" t="s">
        <v>34</v>
      </c>
      <c r="D13" s="48" t="s">
        <v>755</v>
      </c>
      <c r="E13" s="48">
        <v>5</v>
      </c>
      <c r="F13" s="48" t="s">
        <v>681</v>
      </c>
      <c r="G13" s="48" t="s">
        <v>757</v>
      </c>
      <c r="H13" s="54">
        <v>34.9</v>
      </c>
      <c r="I13" s="68">
        <v>174.5</v>
      </c>
      <c r="J13" s="48" t="s">
        <v>758</v>
      </c>
      <c r="K13" s="48" t="s">
        <v>21</v>
      </c>
      <c r="L13" s="48" t="s">
        <v>758</v>
      </c>
      <c r="M13" s="48" t="s">
        <v>758</v>
      </c>
      <c r="N13" s="71" t="s">
        <v>2947</v>
      </c>
    </row>
    <row r="14" spans="1:14" ht="60.75">
      <c r="A14" s="50">
        <v>13</v>
      </c>
      <c r="B14" s="56" t="s">
        <v>772</v>
      </c>
      <c r="C14" s="48" t="s">
        <v>34</v>
      </c>
      <c r="D14" s="48" t="s">
        <v>755</v>
      </c>
      <c r="E14" s="48">
        <v>2</v>
      </c>
      <c r="F14" s="48" t="s">
        <v>681</v>
      </c>
      <c r="G14" s="48" t="s">
        <v>757</v>
      </c>
      <c r="H14" s="54">
        <v>13.5</v>
      </c>
      <c r="I14" s="68">
        <v>27</v>
      </c>
      <c r="J14" s="48" t="s">
        <v>758</v>
      </c>
      <c r="K14" s="48" t="s">
        <v>21</v>
      </c>
      <c r="L14" s="48" t="s">
        <v>758</v>
      </c>
      <c r="M14" s="48" t="s">
        <v>758</v>
      </c>
      <c r="N14" s="71" t="s">
        <v>2947</v>
      </c>
    </row>
    <row r="15" spans="1:14" ht="60.75">
      <c r="A15" s="50">
        <v>14</v>
      </c>
      <c r="B15" s="56" t="s">
        <v>773</v>
      </c>
      <c r="C15" s="51" t="s">
        <v>34</v>
      </c>
      <c r="D15" s="48" t="s">
        <v>755</v>
      </c>
      <c r="E15" s="48">
        <v>2</v>
      </c>
      <c r="F15" s="48" t="s">
        <v>681</v>
      </c>
      <c r="G15" s="48" t="s">
        <v>757</v>
      </c>
      <c r="H15" s="54">
        <v>14.9</v>
      </c>
      <c r="I15" s="68">
        <v>29.8</v>
      </c>
      <c r="J15" s="48" t="s">
        <v>758</v>
      </c>
      <c r="K15" s="48" t="s">
        <v>21</v>
      </c>
      <c r="L15" s="48" t="s">
        <v>758</v>
      </c>
      <c r="M15" s="48" t="s">
        <v>758</v>
      </c>
      <c r="N15" s="71" t="s">
        <v>2947</v>
      </c>
    </row>
    <row r="16" spans="1:14" ht="60.75">
      <c r="A16" s="50">
        <v>15</v>
      </c>
      <c r="B16" s="58" t="s">
        <v>774</v>
      </c>
      <c r="C16" s="51" t="s">
        <v>34</v>
      </c>
      <c r="D16" s="48" t="s">
        <v>755</v>
      </c>
      <c r="E16" s="48">
        <v>2</v>
      </c>
      <c r="F16" s="48" t="s">
        <v>681</v>
      </c>
      <c r="G16" s="51" t="s">
        <v>757</v>
      </c>
      <c r="H16" s="54">
        <v>22.9</v>
      </c>
      <c r="I16" s="68">
        <v>45.8</v>
      </c>
      <c r="J16" s="48" t="s">
        <v>758</v>
      </c>
      <c r="K16" s="48" t="s">
        <v>21</v>
      </c>
      <c r="L16" s="48" t="s">
        <v>758</v>
      </c>
      <c r="M16" s="48" t="s">
        <v>758</v>
      </c>
      <c r="N16" s="71" t="s">
        <v>2947</v>
      </c>
    </row>
    <row r="17" spans="1:14" ht="60.75">
      <c r="A17" s="50">
        <v>16</v>
      </c>
      <c r="B17" s="56" t="s">
        <v>775</v>
      </c>
      <c r="C17" s="48" t="s">
        <v>34</v>
      </c>
      <c r="D17" s="48" t="s">
        <v>755</v>
      </c>
      <c r="E17" s="48">
        <v>6</v>
      </c>
      <c r="F17" s="48" t="s">
        <v>756</v>
      </c>
      <c r="G17" s="48" t="s">
        <v>757</v>
      </c>
      <c r="H17" s="54">
        <v>2.4</v>
      </c>
      <c r="I17" s="68">
        <v>14.399999999999999</v>
      </c>
      <c r="J17" s="48" t="s">
        <v>758</v>
      </c>
      <c r="K17" s="48" t="s">
        <v>21</v>
      </c>
      <c r="L17" s="48" t="s">
        <v>758</v>
      </c>
      <c r="M17" s="48" t="s">
        <v>758</v>
      </c>
      <c r="N17" s="71" t="s">
        <v>2947</v>
      </c>
    </row>
    <row r="18" spans="1:14" ht="60.75">
      <c r="A18" s="50">
        <v>17</v>
      </c>
      <c r="B18" s="56" t="s">
        <v>776</v>
      </c>
      <c r="C18" s="48" t="s">
        <v>34</v>
      </c>
      <c r="D18" s="48" t="s">
        <v>755</v>
      </c>
      <c r="E18" s="48">
        <v>6</v>
      </c>
      <c r="F18" s="51" t="s">
        <v>756</v>
      </c>
      <c r="G18" s="51" t="s">
        <v>757</v>
      </c>
      <c r="H18" s="54">
        <v>5.7</v>
      </c>
      <c r="I18" s="68">
        <v>34.200000000000003</v>
      </c>
      <c r="J18" s="48" t="s">
        <v>758</v>
      </c>
      <c r="K18" s="48" t="s">
        <v>21</v>
      </c>
      <c r="L18" s="48" t="s">
        <v>758</v>
      </c>
      <c r="M18" s="48" t="s">
        <v>758</v>
      </c>
      <c r="N18" s="71" t="s">
        <v>2947</v>
      </c>
    </row>
    <row r="19" spans="1:14" ht="60.75">
      <c r="A19" s="50">
        <v>18</v>
      </c>
      <c r="B19" s="56" t="s">
        <v>777</v>
      </c>
      <c r="C19" s="51" t="s">
        <v>34</v>
      </c>
      <c r="D19" s="48" t="s">
        <v>755</v>
      </c>
      <c r="E19" s="48">
        <v>12</v>
      </c>
      <c r="F19" s="48" t="s">
        <v>756</v>
      </c>
      <c r="G19" s="48" t="s">
        <v>757</v>
      </c>
      <c r="H19" s="54">
        <v>7.9</v>
      </c>
      <c r="I19" s="68">
        <v>94.800000000000011</v>
      </c>
      <c r="J19" s="48" t="s">
        <v>758</v>
      </c>
      <c r="K19" s="48" t="s">
        <v>21</v>
      </c>
      <c r="L19" s="48" t="s">
        <v>758</v>
      </c>
      <c r="M19" s="48" t="s">
        <v>758</v>
      </c>
      <c r="N19" s="71" t="s">
        <v>2947</v>
      </c>
    </row>
    <row r="20" spans="1:14" ht="60.75">
      <c r="A20" s="50">
        <v>19</v>
      </c>
      <c r="B20" s="56" t="s">
        <v>778</v>
      </c>
      <c r="C20" s="48" t="s">
        <v>34</v>
      </c>
      <c r="D20" s="48" t="s">
        <v>755</v>
      </c>
      <c r="E20" s="48">
        <v>12</v>
      </c>
      <c r="F20" s="51" t="s">
        <v>756</v>
      </c>
      <c r="G20" s="51" t="s">
        <v>757</v>
      </c>
      <c r="H20" s="54">
        <v>2.4500000000000002</v>
      </c>
      <c r="I20" s="68">
        <v>29.400000000000002</v>
      </c>
      <c r="J20" s="48" t="s">
        <v>758</v>
      </c>
      <c r="K20" s="48" t="s">
        <v>21</v>
      </c>
      <c r="L20" s="48" t="s">
        <v>758</v>
      </c>
      <c r="M20" s="48" t="s">
        <v>758</v>
      </c>
      <c r="N20" s="71" t="s">
        <v>2947</v>
      </c>
    </row>
    <row r="21" spans="1:14" ht="60.75">
      <c r="A21" s="50">
        <v>20</v>
      </c>
      <c r="B21" s="56" t="s">
        <v>779</v>
      </c>
      <c r="C21" s="51" t="s">
        <v>34</v>
      </c>
      <c r="D21" s="48" t="s">
        <v>755</v>
      </c>
      <c r="E21" s="47">
        <v>20</v>
      </c>
      <c r="F21" s="46" t="s">
        <v>756</v>
      </c>
      <c r="G21" s="48" t="s">
        <v>757</v>
      </c>
      <c r="H21" s="54">
        <v>1</v>
      </c>
      <c r="I21" s="68">
        <v>20</v>
      </c>
      <c r="J21" s="48" t="s">
        <v>758</v>
      </c>
      <c r="K21" s="48" t="s">
        <v>21</v>
      </c>
      <c r="L21" s="48" t="s">
        <v>758</v>
      </c>
      <c r="M21" s="48" t="s">
        <v>758</v>
      </c>
      <c r="N21" s="71" t="s">
        <v>2947</v>
      </c>
    </row>
    <row r="22" spans="1:14" ht="60.75">
      <c r="A22" s="50">
        <v>21</v>
      </c>
      <c r="B22" s="56" t="s">
        <v>779</v>
      </c>
      <c r="C22" s="51" t="s">
        <v>34</v>
      </c>
      <c r="D22" s="48" t="s">
        <v>755</v>
      </c>
      <c r="E22" s="47">
        <v>20</v>
      </c>
      <c r="F22" s="46" t="s">
        <v>756</v>
      </c>
      <c r="G22" s="48" t="s">
        <v>757</v>
      </c>
      <c r="H22" s="54">
        <v>1</v>
      </c>
      <c r="I22" s="68">
        <v>20</v>
      </c>
      <c r="J22" s="48" t="s">
        <v>758</v>
      </c>
      <c r="K22" s="48" t="s">
        <v>21</v>
      </c>
      <c r="L22" s="48" t="s">
        <v>758</v>
      </c>
      <c r="M22" s="48" t="s">
        <v>758</v>
      </c>
      <c r="N22" s="71" t="s">
        <v>2947</v>
      </c>
    </row>
    <row r="23" spans="1:14" ht="60.75">
      <c r="A23" s="50">
        <v>22</v>
      </c>
      <c r="B23" s="60" t="s">
        <v>780</v>
      </c>
      <c r="C23" s="48" t="s">
        <v>34</v>
      </c>
      <c r="D23" s="48" t="s">
        <v>755</v>
      </c>
      <c r="E23" s="47">
        <v>20</v>
      </c>
      <c r="F23" s="46" t="s">
        <v>756</v>
      </c>
      <c r="G23" s="51" t="s">
        <v>757</v>
      </c>
      <c r="H23" s="54">
        <v>1</v>
      </c>
      <c r="I23" s="68">
        <v>20</v>
      </c>
      <c r="J23" s="48" t="s">
        <v>758</v>
      </c>
      <c r="K23" s="48" t="s">
        <v>21</v>
      </c>
      <c r="L23" s="48" t="s">
        <v>758</v>
      </c>
      <c r="M23" s="48" t="s">
        <v>758</v>
      </c>
      <c r="N23" s="71" t="s">
        <v>2947</v>
      </c>
    </row>
    <row r="24" spans="1:14" ht="60.75">
      <c r="A24" s="50">
        <v>23</v>
      </c>
      <c r="B24" s="56" t="s">
        <v>781</v>
      </c>
      <c r="C24" s="48" t="s">
        <v>34</v>
      </c>
      <c r="D24" s="48" t="s">
        <v>755</v>
      </c>
      <c r="E24" s="47">
        <v>6</v>
      </c>
      <c r="F24" s="46" t="s">
        <v>756</v>
      </c>
      <c r="G24" s="48" t="s">
        <v>757</v>
      </c>
      <c r="H24" s="54">
        <v>6.5</v>
      </c>
      <c r="I24" s="68">
        <v>39</v>
      </c>
      <c r="J24" s="48" t="s">
        <v>758</v>
      </c>
      <c r="K24" s="48" t="s">
        <v>21</v>
      </c>
      <c r="L24" s="48" t="s">
        <v>758</v>
      </c>
      <c r="M24" s="48" t="s">
        <v>758</v>
      </c>
      <c r="N24" s="71" t="s">
        <v>2947</v>
      </c>
    </row>
    <row r="25" spans="1:14" ht="60.75">
      <c r="A25" s="50">
        <v>24</v>
      </c>
      <c r="B25" s="56" t="s">
        <v>782</v>
      </c>
      <c r="C25" s="48" t="s">
        <v>34</v>
      </c>
      <c r="D25" s="48" t="s">
        <v>755</v>
      </c>
      <c r="E25" s="47">
        <v>20</v>
      </c>
      <c r="F25" s="46" t="s">
        <v>756</v>
      </c>
      <c r="G25" s="51" t="s">
        <v>757</v>
      </c>
      <c r="H25" s="54">
        <v>5.75</v>
      </c>
      <c r="I25" s="68">
        <v>115</v>
      </c>
      <c r="J25" s="48" t="s">
        <v>758</v>
      </c>
      <c r="K25" s="48" t="s">
        <v>21</v>
      </c>
      <c r="L25" s="48" t="s">
        <v>758</v>
      </c>
      <c r="M25" s="48" t="s">
        <v>758</v>
      </c>
      <c r="N25" s="71" t="s">
        <v>2947</v>
      </c>
    </row>
    <row r="26" spans="1:14" ht="60.75">
      <c r="A26" s="50">
        <v>25</v>
      </c>
      <c r="B26" s="56" t="s">
        <v>783</v>
      </c>
      <c r="C26" s="48" t="s">
        <v>34</v>
      </c>
      <c r="D26" s="48" t="s">
        <v>755</v>
      </c>
      <c r="E26" s="47">
        <v>4</v>
      </c>
      <c r="F26" s="46" t="s">
        <v>756</v>
      </c>
      <c r="G26" s="48" t="s">
        <v>757</v>
      </c>
      <c r="H26" s="54">
        <v>5</v>
      </c>
      <c r="I26" s="68">
        <v>20</v>
      </c>
      <c r="J26" s="48" t="s">
        <v>758</v>
      </c>
      <c r="K26" s="48" t="s">
        <v>21</v>
      </c>
      <c r="L26" s="48" t="s">
        <v>758</v>
      </c>
      <c r="M26" s="48" t="s">
        <v>758</v>
      </c>
      <c r="N26" s="71" t="s">
        <v>2947</v>
      </c>
    </row>
    <row r="27" spans="1:14" ht="60.75">
      <c r="A27" s="50">
        <v>26</v>
      </c>
      <c r="B27" s="56" t="s">
        <v>784</v>
      </c>
      <c r="C27" s="48" t="s">
        <v>34</v>
      </c>
      <c r="D27" s="48" t="s">
        <v>755</v>
      </c>
      <c r="E27" s="47">
        <v>2</v>
      </c>
      <c r="F27" s="46" t="s">
        <v>756</v>
      </c>
      <c r="G27" s="51" t="s">
        <v>757</v>
      </c>
      <c r="H27" s="54">
        <v>19.68</v>
      </c>
      <c r="I27" s="68">
        <v>39.36</v>
      </c>
      <c r="J27" s="48" t="s">
        <v>758</v>
      </c>
      <c r="K27" s="48" t="s">
        <v>21</v>
      </c>
      <c r="L27" s="48" t="s">
        <v>758</v>
      </c>
      <c r="M27" s="48" t="s">
        <v>758</v>
      </c>
      <c r="N27" s="71" t="s">
        <v>2947</v>
      </c>
    </row>
    <row r="28" spans="1:14" ht="60.75">
      <c r="A28" s="50">
        <v>27</v>
      </c>
      <c r="B28" s="56" t="s">
        <v>785</v>
      </c>
      <c r="C28" s="51" t="s">
        <v>34</v>
      </c>
      <c r="D28" s="48" t="s">
        <v>755</v>
      </c>
      <c r="E28" s="47">
        <v>6</v>
      </c>
      <c r="F28" s="46" t="s">
        <v>756</v>
      </c>
      <c r="G28" s="48" t="s">
        <v>757</v>
      </c>
      <c r="H28" s="54">
        <v>9.99</v>
      </c>
      <c r="I28" s="68">
        <v>59.94</v>
      </c>
      <c r="J28" s="48" t="s">
        <v>758</v>
      </c>
      <c r="K28" s="48" t="s">
        <v>21</v>
      </c>
      <c r="L28" s="48" t="s">
        <v>758</v>
      </c>
      <c r="M28" s="48" t="s">
        <v>758</v>
      </c>
      <c r="N28" s="71" t="s">
        <v>2947</v>
      </c>
    </row>
    <row r="29" spans="1:14" ht="60.75">
      <c r="A29" s="50">
        <v>28</v>
      </c>
      <c r="B29" s="56" t="s">
        <v>786</v>
      </c>
      <c r="C29" s="51" t="s">
        <v>34</v>
      </c>
      <c r="D29" s="48" t="s">
        <v>755</v>
      </c>
      <c r="E29" s="47">
        <v>2</v>
      </c>
      <c r="F29" s="46" t="s">
        <v>756</v>
      </c>
      <c r="G29" s="51" t="s">
        <v>757</v>
      </c>
      <c r="H29" s="54">
        <v>29.95</v>
      </c>
      <c r="I29" s="68">
        <v>59.9</v>
      </c>
      <c r="J29" s="48" t="s">
        <v>758</v>
      </c>
      <c r="K29" s="48" t="s">
        <v>21</v>
      </c>
      <c r="L29" s="48" t="s">
        <v>758</v>
      </c>
      <c r="M29" s="48" t="s">
        <v>758</v>
      </c>
      <c r="N29" s="71" t="s">
        <v>2947</v>
      </c>
    </row>
    <row r="30" spans="1:14" ht="60.75">
      <c r="A30" s="50">
        <v>29</v>
      </c>
      <c r="B30" s="60" t="s">
        <v>787</v>
      </c>
      <c r="C30" s="48" t="s">
        <v>34</v>
      </c>
      <c r="D30" s="48" t="s">
        <v>755</v>
      </c>
      <c r="E30" s="47">
        <v>2</v>
      </c>
      <c r="F30" s="46" t="s">
        <v>756</v>
      </c>
      <c r="G30" s="48" t="s">
        <v>757</v>
      </c>
      <c r="H30" s="54">
        <v>44.17</v>
      </c>
      <c r="I30" s="68">
        <v>88.34</v>
      </c>
      <c r="J30" s="48" t="s">
        <v>758</v>
      </c>
      <c r="K30" s="48" t="s">
        <v>21</v>
      </c>
      <c r="L30" s="48" t="s">
        <v>758</v>
      </c>
      <c r="M30" s="48" t="s">
        <v>758</v>
      </c>
      <c r="N30" s="71" t="s">
        <v>2947</v>
      </c>
    </row>
    <row r="31" spans="1:14" ht="60.75">
      <c r="A31" s="50">
        <v>30</v>
      </c>
      <c r="B31" s="60" t="s">
        <v>788</v>
      </c>
      <c r="C31" s="48" t="s">
        <v>34</v>
      </c>
      <c r="D31" s="48" t="s">
        <v>755</v>
      </c>
      <c r="E31" s="47">
        <v>2</v>
      </c>
      <c r="F31" s="46" t="s">
        <v>756</v>
      </c>
      <c r="G31" s="51" t="s">
        <v>757</v>
      </c>
      <c r="H31" s="54">
        <v>25</v>
      </c>
      <c r="I31" s="68">
        <v>50</v>
      </c>
      <c r="J31" s="48" t="s">
        <v>758</v>
      </c>
      <c r="K31" s="48" t="s">
        <v>21</v>
      </c>
      <c r="L31" s="48" t="s">
        <v>758</v>
      </c>
      <c r="M31" s="48" t="s">
        <v>758</v>
      </c>
      <c r="N31" s="71" t="s">
        <v>2947</v>
      </c>
    </row>
    <row r="32" spans="1:14" ht="60.75">
      <c r="A32" s="50">
        <v>31</v>
      </c>
      <c r="B32" s="60" t="s">
        <v>789</v>
      </c>
      <c r="C32" s="48" t="s">
        <v>34</v>
      </c>
      <c r="D32" s="48" t="s">
        <v>755</v>
      </c>
      <c r="E32" s="47">
        <v>4</v>
      </c>
      <c r="F32" s="46" t="s">
        <v>756</v>
      </c>
      <c r="G32" s="48" t="s">
        <v>757</v>
      </c>
      <c r="H32" s="54">
        <v>21.3</v>
      </c>
      <c r="I32" s="68">
        <v>85.2</v>
      </c>
      <c r="J32" s="48" t="s">
        <v>758</v>
      </c>
      <c r="K32" s="48" t="s">
        <v>21</v>
      </c>
      <c r="L32" s="48" t="s">
        <v>758</v>
      </c>
      <c r="M32" s="48" t="s">
        <v>758</v>
      </c>
      <c r="N32" s="71" t="s">
        <v>2947</v>
      </c>
    </row>
    <row r="33" spans="1:14" ht="60.75">
      <c r="A33" s="50">
        <v>32</v>
      </c>
      <c r="B33" s="56" t="s">
        <v>790</v>
      </c>
      <c r="C33" s="48" t="s">
        <v>34</v>
      </c>
      <c r="D33" s="48" t="s">
        <v>755</v>
      </c>
      <c r="E33" s="47">
        <v>1</v>
      </c>
      <c r="F33" s="46" t="s">
        <v>756</v>
      </c>
      <c r="G33" s="48" t="s">
        <v>757</v>
      </c>
      <c r="H33" s="54">
        <v>113.13</v>
      </c>
      <c r="I33" s="68">
        <v>113.13</v>
      </c>
      <c r="J33" s="48" t="s">
        <v>758</v>
      </c>
      <c r="K33" s="48" t="s">
        <v>21</v>
      </c>
      <c r="L33" s="48" t="s">
        <v>758</v>
      </c>
      <c r="M33" s="48" t="s">
        <v>758</v>
      </c>
      <c r="N33" s="71" t="s">
        <v>2947</v>
      </c>
    </row>
    <row r="34" spans="1:14" ht="60.75">
      <c r="A34" s="50">
        <v>33</v>
      </c>
      <c r="B34" s="60" t="s">
        <v>791</v>
      </c>
      <c r="C34" s="48" t="s">
        <v>34</v>
      </c>
      <c r="D34" s="48" t="s">
        <v>755</v>
      </c>
      <c r="E34" s="47">
        <v>10</v>
      </c>
      <c r="F34" s="46" t="s">
        <v>756</v>
      </c>
      <c r="G34" s="48" t="s">
        <v>757</v>
      </c>
      <c r="H34" s="54">
        <v>0.2</v>
      </c>
      <c r="I34" s="68">
        <v>2</v>
      </c>
      <c r="J34" s="48" t="s">
        <v>758</v>
      </c>
      <c r="K34" s="48" t="s">
        <v>21</v>
      </c>
      <c r="L34" s="48" t="s">
        <v>758</v>
      </c>
      <c r="M34" s="48" t="s">
        <v>758</v>
      </c>
      <c r="N34" s="71" t="s">
        <v>2947</v>
      </c>
    </row>
    <row r="35" spans="1:14" ht="60.75">
      <c r="A35" s="50">
        <v>34</v>
      </c>
      <c r="B35" s="60" t="s">
        <v>792</v>
      </c>
      <c r="C35" s="48" t="s">
        <v>34</v>
      </c>
      <c r="D35" s="48" t="s">
        <v>755</v>
      </c>
      <c r="E35" s="47">
        <v>2</v>
      </c>
      <c r="F35" s="46" t="s">
        <v>756</v>
      </c>
      <c r="G35" s="48" t="s">
        <v>757</v>
      </c>
      <c r="H35" s="54">
        <v>18.739999999999998</v>
      </c>
      <c r="I35" s="68">
        <v>37.479999999999997</v>
      </c>
      <c r="J35" s="48" t="s">
        <v>758</v>
      </c>
      <c r="K35" s="48" t="s">
        <v>21</v>
      </c>
      <c r="L35" s="48" t="s">
        <v>758</v>
      </c>
      <c r="M35" s="48" t="s">
        <v>758</v>
      </c>
      <c r="N35" s="71" t="s">
        <v>2947</v>
      </c>
    </row>
    <row r="36" spans="1:14" ht="60.75">
      <c r="A36" s="50">
        <v>35</v>
      </c>
      <c r="B36" s="60" t="s">
        <v>793</v>
      </c>
      <c r="C36" s="48" t="s">
        <v>34</v>
      </c>
      <c r="D36" s="48" t="s">
        <v>755</v>
      </c>
      <c r="E36" s="47">
        <v>10</v>
      </c>
      <c r="F36" s="47" t="s">
        <v>794</v>
      </c>
      <c r="G36" s="48" t="s">
        <v>757</v>
      </c>
      <c r="H36" s="54">
        <v>14.89</v>
      </c>
      <c r="I36" s="68">
        <v>148.9</v>
      </c>
      <c r="J36" s="48" t="s">
        <v>758</v>
      </c>
      <c r="K36" s="48" t="s">
        <v>21</v>
      </c>
      <c r="L36" s="48" t="s">
        <v>758</v>
      </c>
      <c r="M36" s="48" t="s">
        <v>758</v>
      </c>
      <c r="N36" s="71" t="s">
        <v>2947</v>
      </c>
    </row>
    <row r="37" spans="1:14" ht="60.75">
      <c r="A37" s="50">
        <v>36</v>
      </c>
      <c r="B37" s="60" t="s">
        <v>795</v>
      </c>
      <c r="C37" s="48" t="s">
        <v>34</v>
      </c>
      <c r="D37" s="48" t="s">
        <v>755</v>
      </c>
      <c r="E37" s="47">
        <v>6</v>
      </c>
      <c r="F37" s="47" t="s">
        <v>756</v>
      </c>
      <c r="G37" s="48" t="s">
        <v>757</v>
      </c>
      <c r="H37" s="54">
        <v>3.6</v>
      </c>
      <c r="I37" s="68">
        <v>21.6</v>
      </c>
      <c r="J37" s="48" t="s">
        <v>758</v>
      </c>
      <c r="K37" s="48" t="s">
        <v>21</v>
      </c>
      <c r="L37" s="48" t="s">
        <v>758</v>
      </c>
      <c r="M37" s="48" t="s">
        <v>758</v>
      </c>
      <c r="N37" s="71" t="s">
        <v>2947</v>
      </c>
    </row>
    <row r="38" spans="1:14" ht="60.75">
      <c r="A38" s="50">
        <v>37</v>
      </c>
      <c r="B38" s="60" t="s">
        <v>796</v>
      </c>
      <c r="C38" s="48" t="s">
        <v>797</v>
      </c>
      <c r="D38" s="48" t="s">
        <v>755</v>
      </c>
      <c r="E38" s="47">
        <v>50</v>
      </c>
      <c r="F38" s="47" t="s">
        <v>756</v>
      </c>
      <c r="G38" s="48" t="s">
        <v>757</v>
      </c>
      <c r="H38" s="54">
        <v>10</v>
      </c>
      <c r="I38" s="68">
        <v>500</v>
      </c>
      <c r="J38" s="48" t="s">
        <v>758</v>
      </c>
      <c r="K38" s="48" t="s">
        <v>21</v>
      </c>
      <c r="L38" s="48" t="s">
        <v>758</v>
      </c>
      <c r="M38" s="48" t="s">
        <v>758</v>
      </c>
      <c r="N38" s="71" t="s">
        <v>2947</v>
      </c>
    </row>
    <row r="39" spans="1:14" ht="60.75">
      <c r="A39" s="50">
        <v>39</v>
      </c>
      <c r="B39" s="56" t="s">
        <v>798</v>
      </c>
      <c r="C39" s="48" t="s">
        <v>34</v>
      </c>
      <c r="D39" s="48" t="s">
        <v>168</v>
      </c>
      <c r="E39" s="48">
        <v>1</v>
      </c>
      <c r="F39" s="48" t="s">
        <v>756</v>
      </c>
      <c r="G39" s="48" t="s">
        <v>757</v>
      </c>
      <c r="H39" s="64">
        <v>100</v>
      </c>
      <c r="I39" s="66">
        <v>100</v>
      </c>
      <c r="J39" s="48" t="s">
        <v>20</v>
      </c>
      <c r="K39" s="48" t="s">
        <v>21</v>
      </c>
      <c r="L39" s="48" t="s">
        <v>758</v>
      </c>
      <c r="M39" s="48" t="s">
        <v>758</v>
      </c>
      <c r="N39" s="71" t="s">
        <v>2947</v>
      </c>
    </row>
    <row r="40" spans="1:14" ht="60.75">
      <c r="A40" s="50">
        <v>40</v>
      </c>
      <c r="B40" s="60" t="s">
        <v>799</v>
      </c>
      <c r="C40" s="48" t="s">
        <v>172</v>
      </c>
      <c r="D40" s="48" t="s">
        <v>168</v>
      </c>
      <c r="E40" s="48">
        <v>3</v>
      </c>
      <c r="F40" s="48" t="s">
        <v>756</v>
      </c>
      <c r="G40" s="48" t="s">
        <v>757</v>
      </c>
      <c r="H40" s="65">
        <v>369</v>
      </c>
      <c r="I40" s="66">
        <v>1107</v>
      </c>
      <c r="J40" s="48" t="s">
        <v>20</v>
      </c>
      <c r="K40" s="48" t="s">
        <v>21</v>
      </c>
      <c r="L40" s="48" t="s">
        <v>758</v>
      </c>
      <c r="M40" s="48" t="s">
        <v>758</v>
      </c>
      <c r="N40" s="71" t="s">
        <v>2947</v>
      </c>
    </row>
    <row r="41" spans="1:14" ht="60.75">
      <c r="A41" s="50">
        <v>41</v>
      </c>
      <c r="B41" s="56" t="s">
        <v>800</v>
      </c>
      <c r="C41" s="48" t="s">
        <v>801</v>
      </c>
      <c r="D41" s="48" t="s">
        <v>168</v>
      </c>
      <c r="E41" s="48">
        <v>3</v>
      </c>
      <c r="F41" s="48" t="s">
        <v>756</v>
      </c>
      <c r="G41" s="48" t="s">
        <v>802</v>
      </c>
      <c r="H41" s="64">
        <v>299</v>
      </c>
      <c r="I41" s="66">
        <v>897</v>
      </c>
      <c r="J41" s="48" t="s">
        <v>20</v>
      </c>
      <c r="K41" s="48" t="s">
        <v>21</v>
      </c>
      <c r="L41" s="48" t="s">
        <v>758</v>
      </c>
      <c r="M41" s="48" t="s">
        <v>758</v>
      </c>
      <c r="N41" s="71" t="s">
        <v>2947</v>
      </c>
    </row>
    <row r="42" spans="1:14" ht="60.75">
      <c r="A42" s="50">
        <v>43</v>
      </c>
      <c r="B42" s="56" t="s">
        <v>803</v>
      </c>
      <c r="C42" s="48" t="s">
        <v>34</v>
      </c>
      <c r="D42" s="48" t="s">
        <v>168</v>
      </c>
      <c r="E42" s="48">
        <v>1</v>
      </c>
      <c r="F42" s="48" t="s">
        <v>756</v>
      </c>
      <c r="G42" s="48" t="s">
        <v>757</v>
      </c>
      <c r="H42" s="68">
        <v>60</v>
      </c>
      <c r="I42" s="68">
        <v>60</v>
      </c>
      <c r="J42" s="48" t="s">
        <v>758</v>
      </c>
      <c r="K42" s="48" t="s">
        <v>21</v>
      </c>
      <c r="L42" s="48" t="s">
        <v>758</v>
      </c>
      <c r="M42" s="48" t="s">
        <v>758</v>
      </c>
      <c r="N42" s="71" t="s">
        <v>2947</v>
      </c>
    </row>
    <row r="43" spans="1:14" ht="60.75">
      <c r="A43" s="50">
        <v>44</v>
      </c>
      <c r="B43" s="56" t="s">
        <v>804</v>
      </c>
      <c r="C43" s="48" t="s">
        <v>34</v>
      </c>
      <c r="D43" s="48" t="s">
        <v>805</v>
      </c>
      <c r="E43" s="48">
        <v>1</v>
      </c>
      <c r="F43" s="48" t="s">
        <v>756</v>
      </c>
      <c r="G43" s="48" t="s">
        <v>757</v>
      </c>
      <c r="H43" s="68">
        <v>350</v>
      </c>
      <c r="I43" s="68">
        <v>350</v>
      </c>
      <c r="J43" s="48" t="s">
        <v>758</v>
      </c>
      <c r="K43" s="48" t="s">
        <v>21</v>
      </c>
      <c r="L43" s="48" t="s">
        <v>758</v>
      </c>
      <c r="M43" s="48" t="s">
        <v>758</v>
      </c>
      <c r="N43" s="71" t="s">
        <v>2947</v>
      </c>
    </row>
    <row r="44" spans="1:14" ht="60.75">
      <c r="A44" s="50">
        <v>45</v>
      </c>
      <c r="B44" s="60" t="s">
        <v>806</v>
      </c>
      <c r="C44" s="48" t="s">
        <v>34</v>
      </c>
      <c r="D44" s="48" t="s">
        <v>168</v>
      </c>
      <c r="E44" s="48">
        <v>1</v>
      </c>
      <c r="F44" s="48" t="s">
        <v>756</v>
      </c>
      <c r="G44" s="48" t="s">
        <v>757</v>
      </c>
      <c r="H44" s="68">
        <v>6500</v>
      </c>
      <c r="I44" s="68">
        <v>6500</v>
      </c>
      <c r="J44" s="48" t="s">
        <v>758</v>
      </c>
      <c r="K44" s="48" t="s">
        <v>21</v>
      </c>
      <c r="L44" s="48" t="s">
        <v>758</v>
      </c>
      <c r="M44" s="48" t="s">
        <v>758</v>
      </c>
      <c r="N44" s="71" t="s">
        <v>2947</v>
      </c>
    </row>
    <row r="45" spans="1:14" ht="60.75">
      <c r="A45" s="50">
        <v>46</v>
      </c>
      <c r="B45" s="60" t="s">
        <v>807</v>
      </c>
      <c r="C45" s="48" t="s">
        <v>34</v>
      </c>
      <c r="D45" s="48" t="s">
        <v>168</v>
      </c>
      <c r="E45" s="48">
        <v>1</v>
      </c>
      <c r="F45" s="48" t="s">
        <v>756</v>
      </c>
      <c r="G45" s="48" t="s">
        <v>757</v>
      </c>
      <c r="H45" s="62">
        <v>2399</v>
      </c>
      <c r="I45" s="68">
        <v>2399</v>
      </c>
      <c r="J45" s="48" t="s">
        <v>758</v>
      </c>
      <c r="K45" s="48" t="s">
        <v>21</v>
      </c>
      <c r="L45" s="48" t="s">
        <v>758</v>
      </c>
      <c r="M45" s="48" t="s">
        <v>758</v>
      </c>
      <c r="N45" s="71" t="s">
        <v>2947</v>
      </c>
    </row>
    <row r="46" spans="1:14" ht="60.75">
      <c r="A46" s="50">
        <v>47</v>
      </c>
      <c r="B46" s="55" t="s">
        <v>808</v>
      </c>
      <c r="C46" s="48" t="s">
        <v>34</v>
      </c>
      <c r="D46" s="48" t="s">
        <v>168</v>
      </c>
      <c r="E46" s="48">
        <v>1</v>
      </c>
      <c r="F46" s="48" t="s">
        <v>756</v>
      </c>
      <c r="G46" s="48" t="s">
        <v>757</v>
      </c>
      <c r="H46" s="68">
        <v>289.89999999999998</v>
      </c>
      <c r="I46" s="68">
        <v>289.89999999999998</v>
      </c>
      <c r="J46" s="48" t="s">
        <v>758</v>
      </c>
      <c r="K46" s="48" t="s">
        <v>21</v>
      </c>
      <c r="L46" s="48" t="s">
        <v>758</v>
      </c>
      <c r="M46" s="48" t="s">
        <v>758</v>
      </c>
      <c r="N46" s="71" t="s">
        <v>2947</v>
      </c>
    </row>
    <row r="47" spans="1:14" ht="60.75">
      <c r="A47" s="50">
        <v>48</v>
      </c>
      <c r="B47" s="63" t="s">
        <v>809</v>
      </c>
      <c r="C47" s="48" t="s">
        <v>34</v>
      </c>
      <c r="D47" s="48" t="s">
        <v>168</v>
      </c>
      <c r="E47" s="52">
        <v>1</v>
      </c>
      <c r="F47" s="48" t="s">
        <v>756</v>
      </c>
      <c r="G47" s="48" t="s">
        <v>757</v>
      </c>
      <c r="H47" s="68">
        <v>50</v>
      </c>
      <c r="I47" s="68">
        <v>50</v>
      </c>
      <c r="J47" s="48" t="s">
        <v>758</v>
      </c>
      <c r="K47" s="48" t="s">
        <v>21</v>
      </c>
      <c r="L47" s="48" t="s">
        <v>758</v>
      </c>
      <c r="M47" s="48" t="s">
        <v>758</v>
      </c>
      <c r="N47" s="71" t="s">
        <v>2947</v>
      </c>
    </row>
    <row r="48" spans="1:14" ht="60.75">
      <c r="A48" s="50">
        <v>52</v>
      </c>
      <c r="B48" s="56" t="s">
        <v>810</v>
      </c>
      <c r="C48" s="48" t="s">
        <v>801</v>
      </c>
      <c r="D48" s="48" t="s">
        <v>811</v>
      </c>
      <c r="E48" s="48">
        <v>576</v>
      </c>
      <c r="F48" s="48" t="s">
        <v>756</v>
      </c>
      <c r="G48" s="48" t="s">
        <v>757</v>
      </c>
      <c r="H48" s="54">
        <v>1.5</v>
      </c>
      <c r="I48" s="69">
        <v>864</v>
      </c>
      <c r="J48" s="48" t="s">
        <v>20</v>
      </c>
      <c r="K48" s="48" t="s">
        <v>331</v>
      </c>
      <c r="L48" s="48" t="s">
        <v>758</v>
      </c>
      <c r="M48" s="48" t="s">
        <v>758</v>
      </c>
      <c r="N48" s="71" t="s">
        <v>2947</v>
      </c>
    </row>
    <row r="49" spans="1:14" ht="60.75">
      <c r="A49" s="50">
        <v>53</v>
      </c>
      <c r="B49" s="56" t="s">
        <v>812</v>
      </c>
      <c r="C49" s="48" t="s">
        <v>801</v>
      </c>
      <c r="D49" s="48" t="s">
        <v>811</v>
      </c>
      <c r="E49" s="48">
        <v>60</v>
      </c>
      <c r="F49" s="48" t="s">
        <v>813</v>
      </c>
      <c r="G49" s="48" t="s">
        <v>757</v>
      </c>
      <c r="H49" s="54">
        <v>12</v>
      </c>
      <c r="I49" s="69">
        <v>720</v>
      </c>
      <c r="J49" s="48" t="s">
        <v>20</v>
      </c>
      <c r="K49" s="48" t="s">
        <v>331</v>
      </c>
      <c r="L49" s="48" t="s">
        <v>758</v>
      </c>
      <c r="M49" s="48" t="s">
        <v>758</v>
      </c>
      <c r="N49" s="71" t="s">
        <v>2947</v>
      </c>
    </row>
  </sheetData>
  <pageMargins left="0.511811024" right="0.511811024" top="0.78740157499999996" bottom="0.78740157499999996" header="0.31496062000000002" footer="0.3149606200000000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5DBE7-8D8F-4ED6-A28E-0571C810FC31}">
  <dimension ref="A1:M298"/>
  <sheetViews>
    <sheetView workbookViewId="0">
      <selection activeCell="N2" sqref="N2"/>
    </sheetView>
  </sheetViews>
  <sheetFormatPr defaultRowHeight="15"/>
  <cols>
    <col min="2" max="2" width="39.140625" customWidth="1"/>
    <col min="8" max="8" width="33.140625" customWidth="1"/>
  </cols>
  <sheetData>
    <row r="1" spans="1:13" ht="90">
      <c r="A1" s="193" t="s">
        <v>2484</v>
      </c>
      <c r="B1" s="193" t="s">
        <v>2948</v>
      </c>
      <c r="C1" s="193" t="s">
        <v>2487</v>
      </c>
      <c r="D1" s="193" t="s">
        <v>2488</v>
      </c>
      <c r="E1" s="193" t="s">
        <v>2495</v>
      </c>
      <c r="F1" s="193" t="s">
        <v>33</v>
      </c>
      <c r="G1" s="193" t="s">
        <v>2492</v>
      </c>
      <c r="H1" s="193" t="s">
        <v>2496</v>
      </c>
      <c r="I1" s="193" t="s">
        <v>2494</v>
      </c>
      <c r="J1" s="193" t="s">
        <v>2493</v>
      </c>
      <c r="K1" s="193" t="s">
        <v>2949</v>
      </c>
      <c r="L1" s="193" t="s">
        <v>2950</v>
      </c>
      <c r="M1" s="193" t="s">
        <v>2951</v>
      </c>
    </row>
    <row r="2" spans="1:13" ht="51.75">
      <c r="A2" s="194">
        <v>1</v>
      </c>
      <c r="B2" s="194" t="s">
        <v>2952</v>
      </c>
      <c r="C2" s="194" t="s">
        <v>347</v>
      </c>
      <c r="D2" s="194" t="s">
        <v>2953</v>
      </c>
      <c r="E2" s="194">
        <v>12</v>
      </c>
      <c r="F2" s="194" t="s">
        <v>2138</v>
      </c>
      <c r="G2" s="194" t="s">
        <v>2954</v>
      </c>
      <c r="H2" s="195">
        <v>172598.52</v>
      </c>
      <c r="I2" s="194" t="s">
        <v>391</v>
      </c>
      <c r="J2" s="194" t="s">
        <v>331</v>
      </c>
      <c r="K2" s="196">
        <v>45352</v>
      </c>
      <c r="L2" s="194" t="s">
        <v>2955</v>
      </c>
      <c r="M2" s="194" t="s">
        <v>2956</v>
      </c>
    </row>
    <row r="3" spans="1:13" ht="51.75">
      <c r="A3" s="194">
        <v>2</v>
      </c>
      <c r="B3" s="194" t="s">
        <v>2957</v>
      </c>
      <c r="C3" s="194" t="s">
        <v>347</v>
      </c>
      <c r="D3" s="194" t="s">
        <v>2953</v>
      </c>
      <c r="E3" s="197"/>
      <c r="F3" s="194" t="s">
        <v>2138</v>
      </c>
      <c r="G3" s="194" t="s">
        <v>2958</v>
      </c>
      <c r="H3" s="195">
        <v>107923.02</v>
      </c>
      <c r="I3" s="194" t="s">
        <v>391</v>
      </c>
      <c r="J3" s="194" t="s">
        <v>331</v>
      </c>
      <c r="K3" s="196">
        <v>44874</v>
      </c>
      <c r="L3" s="194" t="s">
        <v>2959</v>
      </c>
      <c r="M3" s="194" t="s">
        <v>2956</v>
      </c>
    </row>
    <row r="4" spans="1:13" ht="51.75">
      <c r="A4" s="194">
        <v>3</v>
      </c>
      <c r="B4" s="194" t="s">
        <v>2960</v>
      </c>
      <c r="C4" s="194" t="s">
        <v>347</v>
      </c>
      <c r="D4" s="194" t="s">
        <v>2953</v>
      </c>
      <c r="E4" s="194">
        <v>18000</v>
      </c>
      <c r="F4" s="194" t="s">
        <v>2138</v>
      </c>
      <c r="G4" s="194" t="s">
        <v>32</v>
      </c>
      <c r="H4" s="195">
        <v>21708</v>
      </c>
      <c r="I4" s="194" t="s">
        <v>758</v>
      </c>
      <c r="J4" s="194" t="s">
        <v>331</v>
      </c>
      <c r="K4" s="196">
        <v>45480</v>
      </c>
      <c r="L4" s="194" t="s">
        <v>2961</v>
      </c>
      <c r="M4" s="194" t="s">
        <v>2956</v>
      </c>
    </row>
    <row r="5" spans="1:13" ht="51.75">
      <c r="A5" s="194">
        <v>4</v>
      </c>
      <c r="B5" s="194" t="s">
        <v>2962</v>
      </c>
      <c r="C5" s="194" t="s">
        <v>347</v>
      </c>
      <c r="D5" s="194" t="s">
        <v>2953</v>
      </c>
      <c r="E5" s="194">
        <v>12</v>
      </c>
      <c r="F5" s="194" t="s">
        <v>2138</v>
      </c>
      <c r="G5" s="194" t="s">
        <v>2963</v>
      </c>
      <c r="H5" s="195">
        <v>6967.8</v>
      </c>
      <c r="I5" s="194" t="s">
        <v>758</v>
      </c>
      <c r="J5" s="194" t="s">
        <v>331</v>
      </c>
      <c r="K5" s="196">
        <v>45361</v>
      </c>
      <c r="L5" s="194" t="s">
        <v>2964</v>
      </c>
      <c r="M5" s="194" t="s">
        <v>2956</v>
      </c>
    </row>
    <row r="6" spans="1:13" ht="51.75">
      <c r="A6" s="194">
        <v>5</v>
      </c>
      <c r="B6" s="194" t="s">
        <v>2965</v>
      </c>
      <c r="C6" s="194" t="s">
        <v>347</v>
      </c>
      <c r="D6" s="194" t="s">
        <v>2953</v>
      </c>
      <c r="E6" s="194">
        <v>12</v>
      </c>
      <c r="F6" s="194" t="s">
        <v>2138</v>
      </c>
      <c r="G6" s="194" t="s">
        <v>2966</v>
      </c>
      <c r="H6" s="195">
        <v>21994.2</v>
      </c>
      <c r="I6" s="194" t="s">
        <v>758</v>
      </c>
      <c r="J6" s="194" t="s">
        <v>331</v>
      </c>
      <c r="K6" s="196">
        <v>45499</v>
      </c>
      <c r="L6" s="194" t="s">
        <v>2967</v>
      </c>
      <c r="M6" s="194" t="s">
        <v>2956</v>
      </c>
    </row>
    <row r="7" spans="1:13" ht="51.75">
      <c r="A7" s="194">
        <v>6</v>
      </c>
      <c r="B7" s="194" t="s">
        <v>2968</v>
      </c>
      <c r="C7" s="194" t="s">
        <v>2969</v>
      </c>
      <c r="D7" s="194" t="s">
        <v>2953</v>
      </c>
      <c r="E7" s="194">
        <v>6</v>
      </c>
      <c r="F7" s="194" t="s">
        <v>2138</v>
      </c>
      <c r="G7" s="194" t="s">
        <v>2970</v>
      </c>
      <c r="H7" s="195">
        <v>8436</v>
      </c>
      <c r="I7" s="194" t="s">
        <v>758</v>
      </c>
      <c r="J7" s="194" t="s">
        <v>331</v>
      </c>
      <c r="K7" s="196">
        <v>45350</v>
      </c>
      <c r="L7" s="194" t="s">
        <v>2971</v>
      </c>
      <c r="M7" s="194" t="s">
        <v>2956</v>
      </c>
    </row>
    <row r="8" spans="1:13" ht="77.25">
      <c r="A8" s="194">
        <v>7</v>
      </c>
      <c r="B8" s="194" t="s">
        <v>2972</v>
      </c>
      <c r="C8" s="194" t="s">
        <v>2969</v>
      </c>
      <c r="D8" s="194" t="s">
        <v>2953</v>
      </c>
      <c r="E8" s="194">
        <v>100</v>
      </c>
      <c r="F8" s="194" t="s">
        <v>2138</v>
      </c>
      <c r="G8" s="194" t="s">
        <v>2973</v>
      </c>
      <c r="H8" s="195">
        <v>15888</v>
      </c>
      <c r="I8" s="194" t="s">
        <v>758</v>
      </c>
      <c r="J8" s="194" t="s">
        <v>331</v>
      </c>
      <c r="K8" s="194" t="s">
        <v>2974</v>
      </c>
      <c r="L8" s="194" t="s">
        <v>2975</v>
      </c>
      <c r="M8" s="194" t="s">
        <v>2956</v>
      </c>
    </row>
    <row r="9" spans="1:13" ht="64.5">
      <c r="A9" s="194">
        <v>8</v>
      </c>
      <c r="B9" s="194" t="s">
        <v>2976</v>
      </c>
      <c r="C9" s="194" t="s">
        <v>2969</v>
      </c>
      <c r="D9" s="194" t="s">
        <v>2953</v>
      </c>
      <c r="E9" s="194">
        <v>12000</v>
      </c>
      <c r="F9" s="194" t="s">
        <v>2977</v>
      </c>
      <c r="G9" s="194" t="s">
        <v>2978</v>
      </c>
      <c r="H9" s="195">
        <v>1988000</v>
      </c>
      <c r="I9" s="194" t="s">
        <v>758</v>
      </c>
      <c r="J9" s="194" t="s">
        <v>331</v>
      </c>
      <c r="K9" s="196">
        <v>45261</v>
      </c>
      <c r="L9" s="194" t="s">
        <v>2979</v>
      </c>
      <c r="M9" s="194" t="s">
        <v>2956</v>
      </c>
    </row>
    <row r="10" spans="1:13" ht="90">
      <c r="A10" s="194">
        <v>9</v>
      </c>
      <c r="B10" s="194" t="s">
        <v>2980</v>
      </c>
      <c r="C10" s="194" t="s">
        <v>2969</v>
      </c>
      <c r="D10" s="194" t="s">
        <v>2953</v>
      </c>
      <c r="E10" s="194">
        <v>12</v>
      </c>
      <c r="F10" s="194" t="s">
        <v>2977</v>
      </c>
      <c r="G10" s="194" t="s">
        <v>2981</v>
      </c>
      <c r="H10" s="195">
        <v>3500</v>
      </c>
      <c r="I10" s="194" t="s">
        <v>758</v>
      </c>
      <c r="J10" s="194" t="s">
        <v>331</v>
      </c>
      <c r="K10" s="196">
        <v>45261</v>
      </c>
      <c r="L10" s="194" t="s">
        <v>2982</v>
      </c>
      <c r="M10" s="194" t="s">
        <v>2956</v>
      </c>
    </row>
    <row r="11" spans="1:13" ht="90">
      <c r="A11" s="194">
        <v>10</v>
      </c>
      <c r="B11" s="194" t="s">
        <v>2983</v>
      </c>
      <c r="C11" s="194" t="s">
        <v>2969</v>
      </c>
      <c r="D11" s="194" t="s">
        <v>2953</v>
      </c>
      <c r="E11" s="194">
        <v>20</v>
      </c>
      <c r="F11" s="194" t="s">
        <v>2138</v>
      </c>
      <c r="G11" s="194" t="s">
        <v>2984</v>
      </c>
      <c r="H11" s="195">
        <v>3360</v>
      </c>
      <c r="I11" s="194" t="s">
        <v>758</v>
      </c>
      <c r="J11" s="194" t="s">
        <v>331</v>
      </c>
      <c r="K11" s="197"/>
      <c r="L11" s="197"/>
      <c r="M11" s="194" t="s">
        <v>2956</v>
      </c>
    </row>
    <row r="12" spans="1:13" ht="51.75">
      <c r="A12" s="194">
        <v>11</v>
      </c>
      <c r="B12" s="194" t="s">
        <v>2985</v>
      </c>
      <c r="C12" s="194" t="s">
        <v>347</v>
      </c>
      <c r="D12" s="194" t="s">
        <v>2953</v>
      </c>
      <c r="E12" s="194">
        <v>12</v>
      </c>
      <c r="F12" s="194" t="s">
        <v>2977</v>
      </c>
      <c r="G12" s="194" t="s">
        <v>2986</v>
      </c>
      <c r="H12" s="195" t="s">
        <v>2987</v>
      </c>
      <c r="I12" s="194" t="s">
        <v>391</v>
      </c>
      <c r="J12" s="194" t="s">
        <v>331</v>
      </c>
      <c r="K12" s="197"/>
      <c r="L12" s="197"/>
      <c r="M12" s="194" t="s">
        <v>2956</v>
      </c>
    </row>
    <row r="13" spans="1:13" ht="64.5">
      <c r="A13" s="194">
        <v>12</v>
      </c>
      <c r="B13" s="194" t="s">
        <v>2988</v>
      </c>
      <c r="C13" s="194" t="s">
        <v>347</v>
      </c>
      <c r="D13" s="194" t="s">
        <v>308</v>
      </c>
      <c r="E13" s="194">
        <v>12</v>
      </c>
      <c r="F13" s="194" t="s">
        <v>2977</v>
      </c>
      <c r="G13" s="194" t="s">
        <v>2989</v>
      </c>
      <c r="H13" s="195" t="s">
        <v>2990</v>
      </c>
      <c r="I13" s="194" t="s">
        <v>391</v>
      </c>
      <c r="J13" s="194" t="s">
        <v>331</v>
      </c>
      <c r="K13" s="197"/>
      <c r="L13" s="197"/>
      <c r="M13" s="194" t="s">
        <v>2956</v>
      </c>
    </row>
    <row r="14" spans="1:13" ht="39">
      <c r="A14" s="194">
        <v>13</v>
      </c>
      <c r="B14" s="194" t="s">
        <v>2991</v>
      </c>
      <c r="C14" s="194" t="s">
        <v>2969</v>
      </c>
      <c r="D14" s="194" t="s">
        <v>2992</v>
      </c>
      <c r="E14" s="194">
        <v>4</v>
      </c>
      <c r="F14" s="194" t="s">
        <v>33</v>
      </c>
      <c r="G14" s="194" t="s">
        <v>2993</v>
      </c>
      <c r="H14" s="195">
        <v>600</v>
      </c>
      <c r="I14" s="194" t="s">
        <v>391</v>
      </c>
      <c r="J14" s="194" t="s">
        <v>2994</v>
      </c>
      <c r="K14" s="197"/>
      <c r="L14" s="197"/>
      <c r="M14" s="194" t="s">
        <v>2956</v>
      </c>
    </row>
    <row r="15" spans="1:13" ht="39">
      <c r="A15" s="194">
        <v>14</v>
      </c>
      <c r="B15" s="194" t="s">
        <v>2995</v>
      </c>
      <c r="C15" s="194" t="s">
        <v>2969</v>
      </c>
      <c r="D15" s="194" t="s">
        <v>2992</v>
      </c>
      <c r="E15" s="194">
        <v>3</v>
      </c>
      <c r="F15" s="194" t="s">
        <v>33</v>
      </c>
      <c r="G15" s="194" t="s">
        <v>2993</v>
      </c>
      <c r="H15" s="195">
        <v>450</v>
      </c>
      <c r="I15" s="194" t="s">
        <v>391</v>
      </c>
      <c r="J15" s="194" t="s">
        <v>2994</v>
      </c>
      <c r="K15" s="197"/>
      <c r="L15" s="197"/>
      <c r="M15" s="194" t="s">
        <v>2956</v>
      </c>
    </row>
    <row r="16" spans="1:13" ht="39">
      <c r="A16" s="194">
        <v>16</v>
      </c>
      <c r="B16" s="194" t="s">
        <v>2996</v>
      </c>
      <c r="C16" s="194" t="s">
        <v>2969</v>
      </c>
      <c r="D16" s="194" t="s">
        <v>2992</v>
      </c>
      <c r="E16" s="194">
        <v>5</v>
      </c>
      <c r="F16" s="194" t="s">
        <v>33</v>
      </c>
      <c r="G16" s="194" t="s">
        <v>2993</v>
      </c>
      <c r="H16" s="195">
        <v>2500</v>
      </c>
      <c r="I16" s="194" t="s">
        <v>391</v>
      </c>
      <c r="J16" s="194" t="s">
        <v>2994</v>
      </c>
      <c r="K16" s="197"/>
      <c r="L16" s="197"/>
      <c r="M16" s="194" t="s">
        <v>2956</v>
      </c>
    </row>
    <row r="17" spans="1:13" ht="39">
      <c r="A17" s="194">
        <v>17</v>
      </c>
      <c r="B17" s="194" t="s">
        <v>2997</v>
      </c>
      <c r="C17" s="194" t="s">
        <v>2969</v>
      </c>
      <c r="D17" s="194" t="s">
        <v>2992</v>
      </c>
      <c r="E17" s="194">
        <v>1</v>
      </c>
      <c r="F17" s="194" t="s">
        <v>33</v>
      </c>
      <c r="G17" s="194" t="s">
        <v>2993</v>
      </c>
      <c r="H17" s="195">
        <v>429</v>
      </c>
      <c r="I17" s="194" t="s">
        <v>391</v>
      </c>
      <c r="J17" s="194" t="s">
        <v>2994</v>
      </c>
      <c r="K17" s="197"/>
      <c r="L17" s="197"/>
      <c r="M17" s="194" t="s">
        <v>2956</v>
      </c>
    </row>
    <row r="18" spans="1:13" ht="39">
      <c r="A18" s="194">
        <v>18</v>
      </c>
      <c r="B18" s="194" t="s">
        <v>2998</v>
      </c>
      <c r="C18" s="194" t="s">
        <v>2969</v>
      </c>
      <c r="D18" s="194" t="s">
        <v>2992</v>
      </c>
      <c r="E18" s="194">
        <v>10</v>
      </c>
      <c r="F18" s="194" t="s">
        <v>33</v>
      </c>
      <c r="G18" s="194" t="s">
        <v>2993</v>
      </c>
      <c r="H18" s="195">
        <v>999</v>
      </c>
      <c r="I18" s="194" t="s">
        <v>391</v>
      </c>
      <c r="J18" s="194" t="s">
        <v>2994</v>
      </c>
      <c r="K18" s="197"/>
      <c r="L18" s="197"/>
      <c r="M18" s="194" t="s">
        <v>2956</v>
      </c>
    </row>
    <row r="19" spans="1:13" ht="39">
      <c r="A19" s="194">
        <v>19</v>
      </c>
      <c r="B19" s="194" t="s">
        <v>2999</v>
      </c>
      <c r="C19" s="194" t="s">
        <v>2969</v>
      </c>
      <c r="D19" s="194" t="s">
        <v>2992</v>
      </c>
      <c r="E19" s="194">
        <v>10</v>
      </c>
      <c r="F19" s="194" t="s">
        <v>33</v>
      </c>
      <c r="G19" s="194" t="s">
        <v>2993</v>
      </c>
      <c r="H19" s="195">
        <v>249</v>
      </c>
      <c r="I19" s="194" t="s">
        <v>391</v>
      </c>
      <c r="J19" s="194" t="s">
        <v>2994</v>
      </c>
      <c r="K19" s="197"/>
      <c r="L19" s="197"/>
      <c r="M19" s="194" t="s">
        <v>2956</v>
      </c>
    </row>
    <row r="20" spans="1:13" ht="39">
      <c r="A20" s="194">
        <v>20</v>
      </c>
      <c r="B20" s="194" t="s">
        <v>3000</v>
      </c>
      <c r="C20" s="194" t="s">
        <v>2969</v>
      </c>
      <c r="D20" s="194" t="s">
        <v>2992</v>
      </c>
      <c r="E20" s="194">
        <v>10</v>
      </c>
      <c r="F20" s="194" t="s">
        <v>33</v>
      </c>
      <c r="G20" s="194" t="s">
        <v>2993</v>
      </c>
      <c r="H20" s="195">
        <v>1200</v>
      </c>
      <c r="I20" s="194" t="s">
        <v>391</v>
      </c>
      <c r="J20" s="194" t="s">
        <v>2994</v>
      </c>
      <c r="K20" s="197"/>
      <c r="L20" s="197"/>
      <c r="M20" s="194" t="s">
        <v>2956</v>
      </c>
    </row>
    <row r="21" spans="1:13" ht="39">
      <c r="A21" s="194">
        <v>21</v>
      </c>
      <c r="B21" s="194" t="s">
        <v>3001</v>
      </c>
      <c r="C21" s="194" t="s">
        <v>2969</v>
      </c>
      <c r="D21" s="194" t="s">
        <v>2992</v>
      </c>
      <c r="E21" s="194">
        <v>2</v>
      </c>
      <c r="F21" s="194" t="s">
        <v>33</v>
      </c>
      <c r="G21" s="194" t="s">
        <v>2993</v>
      </c>
      <c r="H21" s="195">
        <v>10000</v>
      </c>
      <c r="I21" s="194" t="s">
        <v>391</v>
      </c>
      <c r="J21" s="194" t="s">
        <v>2994</v>
      </c>
      <c r="K21" s="197"/>
      <c r="L21" s="197"/>
      <c r="M21" s="194" t="s">
        <v>2956</v>
      </c>
    </row>
    <row r="22" spans="1:13" ht="39">
      <c r="A22" s="194">
        <v>22</v>
      </c>
      <c r="B22" s="194" t="s">
        <v>3002</v>
      </c>
      <c r="C22" s="194" t="s">
        <v>2969</v>
      </c>
      <c r="D22" s="194" t="s">
        <v>2992</v>
      </c>
      <c r="E22" s="194">
        <v>4</v>
      </c>
      <c r="F22" s="194" t="s">
        <v>33</v>
      </c>
      <c r="G22" s="194" t="s">
        <v>2993</v>
      </c>
      <c r="H22" s="195">
        <v>6000</v>
      </c>
      <c r="I22" s="194" t="s">
        <v>391</v>
      </c>
      <c r="J22" s="194" t="s">
        <v>2994</v>
      </c>
      <c r="K22" s="197"/>
      <c r="L22" s="197"/>
      <c r="M22" s="194" t="s">
        <v>2956</v>
      </c>
    </row>
    <row r="23" spans="1:13" ht="39">
      <c r="A23" s="194">
        <v>23</v>
      </c>
      <c r="B23" s="194" t="s">
        <v>3003</v>
      </c>
      <c r="C23" s="194" t="s">
        <v>2969</v>
      </c>
      <c r="D23" s="194" t="s">
        <v>2992</v>
      </c>
      <c r="E23" s="194">
        <v>10</v>
      </c>
      <c r="F23" s="194" t="s">
        <v>33</v>
      </c>
      <c r="G23" s="194" t="s">
        <v>2993</v>
      </c>
      <c r="H23" s="195">
        <v>1000</v>
      </c>
      <c r="I23" s="194" t="s">
        <v>391</v>
      </c>
      <c r="J23" s="194" t="s">
        <v>2994</v>
      </c>
      <c r="K23" s="197"/>
      <c r="L23" s="197"/>
      <c r="M23" s="194" t="s">
        <v>2956</v>
      </c>
    </row>
    <row r="24" spans="1:13" ht="26.25">
      <c r="A24" s="194">
        <v>24</v>
      </c>
      <c r="B24" s="194" t="s">
        <v>3004</v>
      </c>
      <c r="C24" s="194" t="s">
        <v>2969</v>
      </c>
      <c r="D24" s="194" t="s">
        <v>2992</v>
      </c>
      <c r="E24" s="194">
        <v>6</v>
      </c>
      <c r="F24" s="194" t="s">
        <v>33</v>
      </c>
      <c r="G24" s="194" t="s">
        <v>3005</v>
      </c>
      <c r="H24" s="195">
        <v>1200</v>
      </c>
      <c r="I24" s="194" t="s">
        <v>391</v>
      </c>
      <c r="J24" s="194" t="s">
        <v>331</v>
      </c>
      <c r="K24" s="197"/>
      <c r="L24" s="197"/>
      <c r="M24" s="194" t="s">
        <v>2956</v>
      </c>
    </row>
    <row r="25" spans="1:13" ht="26.25">
      <c r="A25" s="194">
        <v>25</v>
      </c>
      <c r="B25" s="194" t="s">
        <v>3006</v>
      </c>
      <c r="C25" s="194" t="s">
        <v>2969</v>
      </c>
      <c r="D25" s="194" t="s">
        <v>2992</v>
      </c>
      <c r="E25" s="194">
        <v>8</v>
      </c>
      <c r="F25" s="194" t="s">
        <v>33</v>
      </c>
      <c r="G25" s="194" t="s">
        <v>3005</v>
      </c>
      <c r="H25" s="195">
        <v>5600</v>
      </c>
      <c r="I25" s="194" t="s">
        <v>391</v>
      </c>
      <c r="J25" s="194" t="s">
        <v>331</v>
      </c>
      <c r="K25" s="197"/>
      <c r="L25" s="197"/>
      <c r="M25" s="194" t="s">
        <v>2956</v>
      </c>
    </row>
    <row r="26" spans="1:13" ht="26.25">
      <c r="A26" s="194">
        <v>26</v>
      </c>
      <c r="B26" s="194" t="s">
        <v>3007</v>
      </c>
      <c r="C26" s="194" t="s">
        <v>2969</v>
      </c>
      <c r="D26" s="194" t="s">
        <v>2992</v>
      </c>
      <c r="E26" s="194">
        <v>3</v>
      </c>
      <c r="F26" s="194" t="s">
        <v>33</v>
      </c>
      <c r="G26" s="194" t="s">
        <v>3005</v>
      </c>
      <c r="H26" s="195">
        <v>6600</v>
      </c>
      <c r="I26" s="194" t="s">
        <v>391</v>
      </c>
      <c r="J26" s="194" t="s">
        <v>331</v>
      </c>
      <c r="K26" s="197"/>
      <c r="L26" s="197"/>
      <c r="M26" s="194" t="s">
        <v>2956</v>
      </c>
    </row>
    <row r="27" spans="1:13" ht="26.25">
      <c r="A27" s="194">
        <v>27</v>
      </c>
      <c r="B27" s="194" t="s">
        <v>3008</v>
      </c>
      <c r="C27" s="194" t="s">
        <v>2969</v>
      </c>
      <c r="D27" s="194" t="s">
        <v>2992</v>
      </c>
      <c r="E27" s="194">
        <v>2</v>
      </c>
      <c r="F27" s="194" t="s">
        <v>33</v>
      </c>
      <c r="G27" s="194" t="s">
        <v>3005</v>
      </c>
      <c r="H27" s="195">
        <v>400</v>
      </c>
      <c r="I27" s="194" t="s">
        <v>391</v>
      </c>
      <c r="J27" s="194" t="s">
        <v>331</v>
      </c>
      <c r="K27" s="197"/>
      <c r="L27" s="197"/>
      <c r="M27" s="194" t="s">
        <v>2956</v>
      </c>
    </row>
    <row r="28" spans="1:13" ht="26.25">
      <c r="A28" s="194">
        <v>28</v>
      </c>
      <c r="B28" s="194" t="s">
        <v>3009</v>
      </c>
      <c r="C28" s="194" t="s">
        <v>2969</v>
      </c>
      <c r="D28" s="194" t="s">
        <v>2992</v>
      </c>
      <c r="E28" s="194">
        <v>10</v>
      </c>
      <c r="F28" s="194" t="s">
        <v>33</v>
      </c>
      <c r="G28" s="194" t="s">
        <v>3005</v>
      </c>
      <c r="H28" s="195">
        <v>2800</v>
      </c>
      <c r="I28" s="194" t="s">
        <v>391</v>
      </c>
      <c r="J28" s="194" t="s">
        <v>331</v>
      </c>
      <c r="K28" s="197"/>
      <c r="L28" s="197"/>
      <c r="M28" s="194" t="s">
        <v>2956</v>
      </c>
    </row>
    <row r="29" spans="1:13" ht="26.25">
      <c r="A29" s="194">
        <v>29</v>
      </c>
      <c r="B29" s="194" t="s">
        <v>3010</v>
      </c>
      <c r="C29" s="194" t="s">
        <v>2969</v>
      </c>
      <c r="D29" s="194" t="s">
        <v>2992</v>
      </c>
      <c r="E29" s="194">
        <v>10</v>
      </c>
      <c r="F29" s="194" t="s">
        <v>33</v>
      </c>
      <c r="G29" s="194" t="s">
        <v>3011</v>
      </c>
      <c r="H29" s="195">
        <v>250</v>
      </c>
      <c r="I29" s="194" t="s">
        <v>391</v>
      </c>
      <c r="J29" s="194" t="s">
        <v>331</v>
      </c>
      <c r="K29" s="197"/>
      <c r="L29" s="197"/>
      <c r="M29" s="194" t="s">
        <v>2956</v>
      </c>
    </row>
    <row r="30" spans="1:13" ht="26.25">
      <c r="A30" s="194">
        <v>30</v>
      </c>
      <c r="B30" s="194" t="s">
        <v>3012</v>
      </c>
      <c r="C30" s="194" t="s">
        <v>2969</v>
      </c>
      <c r="D30" s="194" t="s">
        <v>2992</v>
      </c>
      <c r="E30" s="194">
        <v>4</v>
      </c>
      <c r="F30" s="194" t="s">
        <v>33</v>
      </c>
      <c r="G30" s="194" t="s">
        <v>3005</v>
      </c>
      <c r="H30" s="195">
        <v>600</v>
      </c>
      <c r="I30" s="194" t="s">
        <v>391</v>
      </c>
      <c r="J30" s="194" t="s">
        <v>331</v>
      </c>
      <c r="K30" s="197"/>
      <c r="L30" s="197"/>
      <c r="M30" s="194" t="s">
        <v>2956</v>
      </c>
    </row>
    <row r="31" spans="1:13" ht="26.25">
      <c r="A31" s="194">
        <v>31</v>
      </c>
      <c r="B31" s="194" t="s">
        <v>3013</v>
      </c>
      <c r="C31" s="194" t="s">
        <v>2969</v>
      </c>
      <c r="D31" s="194" t="s">
        <v>2992</v>
      </c>
      <c r="E31" s="194">
        <v>12</v>
      </c>
      <c r="F31" s="194" t="s">
        <v>33</v>
      </c>
      <c r="G31" s="194" t="s">
        <v>3011</v>
      </c>
      <c r="H31" s="195">
        <v>720</v>
      </c>
      <c r="I31" s="194" t="s">
        <v>391</v>
      </c>
      <c r="J31" s="194" t="s">
        <v>331</v>
      </c>
      <c r="K31" s="197"/>
      <c r="L31" s="197"/>
      <c r="M31" s="194" t="s">
        <v>2956</v>
      </c>
    </row>
    <row r="32" spans="1:13" ht="26.25">
      <c r="A32" s="194">
        <v>32</v>
      </c>
      <c r="B32" s="194" t="s">
        <v>3014</v>
      </c>
      <c r="C32" s="194" t="s">
        <v>2969</v>
      </c>
      <c r="D32" s="194" t="s">
        <v>2992</v>
      </c>
      <c r="E32" s="194">
        <v>10</v>
      </c>
      <c r="F32" s="194" t="s">
        <v>33</v>
      </c>
      <c r="G32" s="194" t="s">
        <v>3005</v>
      </c>
      <c r="H32" s="195">
        <v>15000</v>
      </c>
      <c r="I32" s="194" t="s">
        <v>391</v>
      </c>
      <c r="J32" s="194" t="s">
        <v>331</v>
      </c>
      <c r="K32" s="197"/>
      <c r="L32" s="197"/>
      <c r="M32" s="194" t="s">
        <v>2956</v>
      </c>
    </row>
    <row r="33" spans="1:13" ht="26.25">
      <c r="A33" s="194">
        <v>33</v>
      </c>
      <c r="B33" s="194" t="s">
        <v>3015</v>
      </c>
      <c r="C33" s="194" t="s">
        <v>2969</v>
      </c>
      <c r="D33" s="194" t="s">
        <v>2992</v>
      </c>
      <c r="E33" s="194">
        <v>30</v>
      </c>
      <c r="F33" s="194" t="s">
        <v>33</v>
      </c>
      <c r="G33" s="194" t="s">
        <v>3005</v>
      </c>
      <c r="H33" s="195">
        <v>6000</v>
      </c>
      <c r="I33" s="194" t="s">
        <v>391</v>
      </c>
      <c r="J33" s="194" t="s">
        <v>331</v>
      </c>
      <c r="K33" s="197"/>
      <c r="L33" s="197"/>
      <c r="M33" s="194" t="s">
        <v>2956</v>
      </c>
    </row>
    <row r="34" spans="1:13" ht="26.25">
      <c r="A34" s="194">
        <v>34</v>
      </c>
      <c r="B34" s="194" t="s">
        <v>3016</v>
      </c>
      <c r="C34" s="194" t="s">
        <v>2969</v>
      </c>
      <c r="D34" s="194" t="s">
        <v>2992</v>
      </c>
      <c r="E34" s="194">
        <v>3</v>
      </c>
      <c r="F34" s="194" t="s">
        <v>33</v>
      </c>
      <c r="G34" s="194" t="s">
        <v>3011</v>
      </c>
      <c r="H34" s="195">
        <v>150</v>
      </c>
      <c r="I34" s="194" t="s">
        <v>391</v>
      </c>
      <c r="J34" s="194" t="s">
        <v>331</v>
      </c>
      <c r="K34" s="197"/>
      <c r="L34" s="197"/>
      <c r="M34" s="194" t="s">
        <v>2956</v>
      </c>
    </row>
    <row r="35" spans="1:13" ht="26.25">
      <c r="A35" s="194">
        <v>35</v>
      </c>
      <c r="B35" s="194" t="s">
        <v>3017</v>
      </c>
      <c r="C35" s="194" t="s">
        <v>2969</v>
      </c>
      <c r="D35" s="194" t="s">
        <v>2992</v>
      </c>
      <c r="E35" s="194">
        <v>2</v>
      </c>
      <c r="F35" s="194" t="s">
        <v>33</v>
      </c>
      <c r="G35" s="194" t="s">
        <v>3005</v>
      </c>
      <c r="H35" s="195">
        <v>698</v>
      </c>
      <c r="I35" s="194" t="s">
        <v>391</v>
      </c>
      <c r="J35" s="194" t="s">
        <v>331</v>
      </c>
      <c r="K35" s="197"/>
      <c r="L35" s="197"/>
      <c r="M35" s="194" t="s">
        <v>2956</v>
      </c>
    </row>
    <row r="36" spans="1:13" ht="26.25">
      <c r="A36" s="194"/>
      <c r="B36" s="194" t="s">
        <v>3017</v>
      </c>
      <c r="C36" s="194" t="s">
        <v>2969</v>
      </c>
      <c r="D36" s="194" t="s">
        <v>2992</v>
      </c>
      <c r="E36" s="194">
        <v>6</v>
      </c>
      <c r="F36" s="194" t="s">
        <v>33</v>
      </c>
      <c r="G36" s="194" t="s">
        <v>3005</v>
      </c>
      <c r="H36" s="195">
        <v>1074</v>
      </c>
      <c r="I36" s="194" t="s">
        <v>391</v>
      </c>
      <c r="J36" s="194" t="s">
        <v>331</v>
      </c>
      <c r="K36" s="197"/>
      <c r="L36" s="197"/>
      <c r="M36" s="194" t="s">
        <v>2956</v>
      </c>
    </row>
    <row r="37" spans="1:13" ht="26.25">
      <c r="A37" s="194">
        <v>36</v>
      </c>
      <c r="B37" s="194" t="s">
        <v>3018</v>
      </c>
      <c r="C37" s="194" t="s">
        <v>2969</v>
      </c>
      <c r="D37" s="194" t="s">
        <v>2992</v>
      </c>
      <c r="E37" s="194">
        <v>10</v>
      </c>
      <c r="F37" s="194" t="s">
        <v>33</v>
      </c>
      <c r="G37" s="194" t="s">
        <v>3011</v>
      </c>
      <c r="H37" s="195">
        <v>350</v>
      </c>
      <c r="I37" s="194" t="s">
        <v>391</v>
      </c>
      <c r="J37" s="194" t="s">
        <v>331</v>
      </c>
      <c r="K37" s="197"/>
      <c r="L37" s="197"/>
      <c r="M37" s="194" t="s">
        <v>2956</v>
      </c>
    </row>
    <row r="38" spans="1:13" ht="26.25">
      <c r="A38" s="194">
        <v>37</v>
      </c>
      <c r="B38" s="194" t="s">
        <v>3019</v>
      </c>
      <c r="C38" s="194" t="s">
        <v>2969</v>
      </c>
      <c r="D38" s="194" t="s">
        <v>2992</v>
      </c>
      <c r="E38" s="194">
        <v>1</v>
      </c>
      <c r="F38" s="194" t="s">
        <v>33</v>
      </c>
      <c r="G38" s="194" t="s">
        <v>3005</v>
      </c>
      <c r="H38" s="195">
        <v>351</v>
      </c>
      <c r="I38" s="194" t="s">
        <v>391</v>
      </c>
      <c r="J38" s="194" t="s">
        <v>331</v>
      </c>
      <c r="K38" s="197"/>
      <c r="L38" s="197"/>
      <c r="M38" s="194" t="s">
        <v>2956</v>
      </c>
    </row>
    <row r="39" spans="1:13" ht="26.25">
      <c r="A39" s="194">
        <v>38</v>
      </c>
      <c r="B39" s="194" t="s">
        <v>3020</v>
      </c>
      <c r="C39" s="194" t="s">
        <v>2969</v>
      </c>
      <c r="D39" s="194" t="s">
        <v>2992</v>
      </c>
      <c r="E39" s="194">
        <v>5</v>
      </c>
      <c r="F39" s="194" t="s">
        <v>33</v>
      </c>
      <c r="G39" s="194" t="s">
        <v>3005</v>
      </c>
      <c r="H39" s="195">
        <v>2000</v>
      </c>
      <c r="I39" s="194" t="s">
        <v>391</v>
      </c>
      <c r="J39" s="194" t="s">
        <v>331</v>
      </c>
      <c r="K39" s="197"/>
      <c r="L39" s="197"/>
      <c r="M39" s="194" t="s">
        <v>2956</v>
      </c>
    </row>
    <row r="40" spans="1:13" ht="26.25">
      <c r="A40" s="194">
        <v>39</v>
      </c>
      <c r="B40" s="194" t="s">
        <v>3021</v>
      </c>
      <c r="C40" s="194" t="s">
        <v>2969</v>
      </c>
      <c r="D40" s="194" t="s">
        <v>2992</v>
      </c>
      <c r="E40" s="194">
        <v>6</v>
      </c>
      <c r="F40" s="194" t="s">
        <v>33</v>
      </c>
      <c r="G40" s="194" t="s">
        <v>3011</v>
      </c>
      <c r="H40" s="195">
        <v>249</v>
      </c>
      <c r="I40" s="194" t="s">
        <v>391</v>
      </c>
      <c r="J40" s="194" t="s">
        <v>331</v>
      </c>
      <c r="K40" s="197"/>
      <c r="L40" s="197"/>
      <c r="M40" s="194" t="s">
        <v>2956</v>
      </c>
    </row>
    <row r="41" spans="1:13" ht="26.25">
      <c r="A41" s="194">
        <v>40</v>
      </c>
      <c r="B41" s="194" t="s">
        <v>3022</v>
      </c>
      <c r="C41" s="194" t="s">
        <v>2969</v>
      </c>
      <c r="D41" s="194" t="s">
        <v>2992</v>
      </c>
      <c r="E41" s="194">
        <v>5</v>
      </c>
      <c r="F41" s="194" t="s">
        <v>3023</v>
      </c>
      <c r="G41" s="194" t="s">
        <v>3011</v>
      </c>
      <c r="H41" s="195">
        <v>195</v>
      </c>
      <c r="I41" s="194" t="s">
        <v>391</v>
      </c>
      <c r="J41" s="194" t="s">
        <v>331</v>
      </c>
      <c r="K41" s="197"/>
      <c r="L41" s="197"/>
      <c r="M41" s="194" t="s">
        <v>2956</v>
      </c>
    </row>
    <row r="42" spans="1:13" ht="26.25">
      <c r="A42" s="194">
        <v>41</v>
      </c>
      <c r="B42" s="194" t="s">
        <v>3024</v>
      </c>
      <c r="C42" s="194" t="s">
        <v>2969</v>
      </c>
      <c r="D42" s="194" t="s">
        <v>2992</v>
      </c>
      <c r="E42" s="194">
        <v>5</v>
      </c>
      <c r="F42" s="194" t="s">
        <v>3023</v>
      </c>
      <c r="G42" s="194" t="s">
        <v>3011</v>
      </c>
      <c r="H42" s="195">
        <v>195</v>
      </c>
      <c r="I42" s="194" t="s">
        <v>391</v>
      </c>
      <c r="J42" s="194" t="s">
        <v>331</v>
      </c>
      <c r="K42" s="197"/>
      <c r="L42" s="197"/>
      <c r="M42" s="194" t="s">
        <v>2956</v>
      </c>
    </row>
    <row r="43" spans="1:13" ht="26.25">
      <c r="A43" s="194">
        <v>42</v>
      </c>
      <c r="B43" s="194" t="s">
        <v>3025</v>
      </c>
      <c r="C43" s="194" t="s">
        <v>2969</v>
      </c>
      <c r="D43" s="194" t="s">
        <v>2992</v>
      </c>
      <c r="E43" s="194">
        <v>18</v>
      </c>
      <c r="F43" s="194" t="s">
        <v>33</v>
      </c>
      <c r="G43" s="194" t="s">
        <v>3011</v>
      </c>
      <c r="H43" s="195">
        <v>6012</v>
      </c>
      <c r="I43" s="194" t="s">
        <v>391</v>
      </c>
      <c r="J43" s="194" t="s">
        <v>331</v>
      </c>
      <c r="K43" s="197"/>
      <c r="L43" s="197"/>
      <c r="M43" s="194" t="s">
        <v>2956</v>
      </c>
    </row>
    <row r="44" spans="1:13" ht="26.25">
      <c r="A44" s="194">
        <v>43</v>
      </c>
      <c r="B44" s="194" t="s">
        <v>3026</v>
      </c>
      <c r="C44" s="194" t="s">
        <v>2969</v>
      </c>
      <c r="D44" s="194" t="s">
        <v>2992</v>
      </c>
      <c r="E44" s="194">
        <v>15</v>
      </c>
      <c r="F44" s="194" t="s">
        <v>33</v>
      </c>
      <c r="G44" s="194" t="s">
        <v>3011</v>
      </c>
      <c r="H44" s="195">
        <v>4170</v>
      </c>
      <c r="I44" s="194" t="s">
        <v>391</v>
      </c>
      <c r="J44" s="194" t="s">
        <v>331</v>
      </c>
      <c r="K44" s="197"/>
      <c r="L44" s="197"/>
      <c r="M44" s="194" t="s">
        <v>2956</v>
      </c>
    </row>
    <row r="45" spans="1:13" ht="26.25">
      <c r="A45" s="194">
        <v>44</v>
      </c>
      <c r="B45" s="194" t="s">
        <v>3027</v>
      </c>
      <c r="C45" s="194" t="s">
        <v>2969</v>
      </c>
      <c r="D45" s="194" t="s">
        <v>2992</v>
      </c>
      <c r="E45" s="194">
        <v>2</v>
      </c>
      <c r="F45" s="194" t="s">
        <v>33</v>
      </c>
      <c r="G45" s="194" t="s">
        <v>3011</v>
      </c>
      <c r="H45" s="195">
        <v>60</v>
      </c>
      <c r="I45" s="194" t="s">
        <v>391</v>
      </c>
      <c r="J45" s="194" t="s">
        <v>331</v>
      </c>
      <c r="K45" s="197"/>
      <c r="L45" s="197"/>
      <c r="M45" s="194" t="s">
        <v>2956</v>
      </c>
    </row>
    <row r="46" spans="1:13" ht="26.25">
      <c r="A46" s="194">
        <v>45</v>
      </c>
      <c r="B46" s="194" t="s">
        <v>3028</v>
      </c>
      <c r="C46" s="194" t="s">
        <v>2969</v>
      </c>
      <c r="D46" s="194" t="s">
        <v>2992</v>
      </c>
      <c r="E46" s="194">
        <v>4</v>
      </c>
      <c r="F46" s="194" t="s">
        <v>33</v>
      </c>
      <c r="G46" s="194" t="s">
        <v>3011</v>
      </c>
      <c r="H46" s="195">
        <v>112</v>
      </c>
      <c r="I46" s="194" t="s">
        <v>391</v>
      </c>
      <c r="J46" s="194" t="s">
        <v>331</v>
      </c>
      <c r="K46" s="197"/>
      <c r="L46" s="197"/>
      <c r="M46" s="194" t="s">
        <v>2956</v>
      </c>
    </row>
    <row r="47" spans="1:13" ht="26.25">
      <c r="A47" s="194">
        <v>46</v>
      </c>
      <c r="B47" s="194" t="s">
        <v>3029</v>
      </c>
      <c r="C47" s="194" t="s">
        <v>2969</v>
      </c>
      <c r="D47" s="194" t="s">
        <v>2992</v>
      </c>
      <c r="E47" s="194">
        <v>15</v>
      </c>
      <c r="F47" s="194" t="s">
        <v>33</v>
      </c>
      <c r="G47" s="194" t="s">
        <v>3011</v>
      </c>
      <c r="H47" s="195">
        <v>1020</v>
      </c>
      <c r="I47" s="194" t="s">
        <v>391</v>
      </c>
      <c r="J47" s="194" t="s">
        <v>331</v>
      </c>
      <c r="K47" s="197"/>
      <c r="L47" s="197"/>
      <c r="M47" s="194" t="s">
        <v>2956</v>
      </c>
    </row>
    <row r="48" spans="1:13" ht="26.25">
      <c r="A48" s="194">
        <v>47</v>
      </c>
      <c r="B48" s="194" t="s">
        <v>3030</v>
      </c>
      <c r="C48" s="194" t="s">
        <v>2969</v>
      </c>
      <c r="D48" s="194" t="s">
        <v>2992</v>
      </c>
      <c r="E48" s="194">
        <v>3</v>
      </c>
      <c r="F48" s="194" t="s">
        <v>33</v>
      </c>
      <c r="G48" s="194" t="s">
        <v>3005</v>
      </c>
      <c r="H48" s="195">
        <v>600</v>
      </c>
      <c r="I48" s="194" t="s">
        <v>391</v>
      </c>
      <c r="J48" s="194" t="s">
        <v>331</v>
      </c>
      <c r="K48" s="197"/>
      <c r="L48" s="197"/>
      <c r="M48" s="194" t="s">
        <v>2956</v>
      </c>
    </row>
    <row r="49" spans="1:13" ht="26.25">
      <c r="A49" s="194">
        <v>48</v>
      </c>
      <c r="B49" s="194" t="s">
        <v>3031</v>
      </c>
      <c r="C49" s="194" t="s">
        <v>2969</v>
      </c>
      <c r="D49" s="194" t="s">
        <v>2992</v>
      </c>
      <c r="E49" s="194">
        <v>100</v>
      </c>
      <c r="F49" s="194" t="s">
        <v>33</v>
      </c>
      <c r="G49" s="194" t="s">
        <v>3011</v>
      </c>
      <c r="H49" s="195">
        <v>300</v>
      </c>
      <c r="I49" s="194" t="s">
        <v>391</v>
      </c>
      <c r="J49" s="194" t="s">
        <v>331</v>
      </c>
      <c r="K49" s="197"/>
      <c r="L49" s="197"/>
      <c r="M49" s="194" t="s">
        <v>2956</v>
      </c>
    </row>
    <row r="50" spans="1:13" ht="26.25">
      <c r="A50" s="194">
        <v>49</v>
      </c>
      <c r="B50" s="194" t="s">
        <v>3032</v>
      </c>
      <c r="C50" s="194" t="s">
        <v>2969</v>
      </c>
      <c r="D50" s="194" t="s">
        <v>2992</v>
      </c>
      <c r="E50" s="194">
        <v>2</v>
      </c>
      <c r="F50" s="194" t="s">
        <v>33</v>
      </c>
      <c r="G50" s="194" t="s">
        <v>3005</v>
      </c>
      <c r="H50" s="195">
        <v>2600</v>
      </c>
      <c r="I50" s="194" t="s">
        <v>391</v>
      </c>
      <c r="J50" s="194" t="s">
        <v>331</v>
      </c>
      <c r="K50" s="197"/>
      <c r="L50" s="197"/>
      <c r="M50" s="194" t="s">
        <v>2956</v>
      </c>
    </row>
    <row r="51" spans="1:13" ht="26.25">
      <c r="A51" s="194">
        <v>50</v>
      </c>
      <c r="B51" s="194" t="s">
        <v>3033</v>
      </c>
      <c r="C51" s="194" t="s">
        <v>2969</v>
      </c>
      <c r="D51" s="194" t="s">
        <v>2992</v>
      </c>
      <c r="E51" s="194">
        <v>2</v>
      </c>
      <c r="F51" s="194" t="s">
        <v>33</v>
      </c>
      <c r="G51" s="194" t="s">
        <v>3005</v>
      </c>
      <c r="H51" s="195">
        <v>6000</v>
      </c>
      <c r="I51" s="194" t="s">
        <v>391</v>
      </c>
      <c r="J51" s="194" t="s">
        <v>331</v>
      </c>
      <c r="K51" s="197"/>
      <c r="L51" s="197"/>
      <c r="M51" s="194" t="s">
        <v>2956</v>
      </c>
    </row>
    <row r="52" spans="1:13" ht="26.25">
      <c r="A52" s="194">
        <v>51</v>
      </c>
      <c r="B52" s="194" t="s">
        <v>3034</v>
      </c>
      <c r="C52" s="194" t="s">
        <v>2969</v>
      </c>
      <c r="D52" s="194" t="s">
        <v>2992</v>
      </c>
      <c r="E52" s="194">
        <v>100</v>
      </c>
      <c r="F52" s="194" t="s">
        <v>33</v>
      </c>
      <c r="G52" s="194" t="s">
        <v>3011</v>
      </c>
      <c r="H52" s="195">
        <v>300</v>
      </c>
      <c r="I52" s="194" t="s">
        <v>391</v>
      </c>
      <c r="J52" s="194" t="s">
        <v>331</v>
      </c>
      <c r="K52" s="197"/>
      <c r="L52" s="197"/>
      <c r="M52" s="194" t="s">
        <v>2956</v>
      </c>
    </row>
    <row r="53" spans="1:13" ht="26.25">
      <c r="A53" s="194">
        <v>52</v>
      </c>
      <c r="B53" s="194" t="s">
        <v>3035</v>
      </c>
      <c r="C53" s="194" t="s">
        <v>2969</v>
      </c>
      <c r="D53" s="194" t="s">
        <v>2992</v>
      </c>
      <c r="E53" s="194">
        <v>8</v>
      </c>
      <c r="F53" s="194" t="s">
        <v>33</v>
      </c>
      <c r="G53" s="194" t="s">
        <v>3011</v>
      </c>
      <c r="H53" s="195">
        <v>3120</v>
      </c>
      <c r="I53" s="194" t="s">
        <v>391</v>
      </c>
      <c r="J53" s="194" t="s">
        <v>331</v>
      </c>
      <c r="K53" s="197"/>
      <c r="L53" s="197"/>
      <c r="M53" s="194" t="s">
        <v>2956</v>
      </c>
    </row>
    <row r="54" spans="1:13" ht="26.25">
      <c r="A54" s="194">
        <v>53</v>
      </c>
      <c r="B54" s="194" t="s">
        <v>3036</v>
      </c>
      <c r="C54" s="194" t="s">
        <v>2969</v>
      </c>
      <c r="D54" s="194" t="s">
        <v>2992</v>
      </c>
      <c r="E54" s="194">
        <v>3</v>
      </c>
      <c r="F54" s="194" t="s">
        <v>33</v>
      </c>
      <c r="G54" s="194" t="s">
        <v>3005</v>
      </c>
      <c r="H54" s="195">
        <v>7800</v>
      </c>
      <c r="I54" s="194" t="s">
        <v>391</v>
      </c>
      <c r="J54" s="194" t="s">
        <v>331</v>
      </c>
      <c r="K54" s="197"/>
      <c r="L54" s="197"/>
      <c r="M54" s="194" t="s">
        <v>2956</v>
      </c>
    </row>
    <row r="55" spans="1:13" ht="26.25">
      <c r="A55" s="194">
        <v>54</v>
      </c>
      <c r="B55" s="194" t="s">
        <v>3037</v>
      </c>
      <c r="C55" s="194" t="s">
        <v>2969</v>
      </c>
      <c r="D55" s="194" t="s">
        <v>2992</v>
      </c>
      <c r="E55" s="194">
        <v>6</v>
      </c>
      <c r="F55" s="194" t="s">
        <v>33</v>
      </c>
      <c r="G55" s="194" t="s">
        <v>3011</v>
      </c>
      <c r="H55" s="195">
        <v>360</v>
      </c>
      <c r="I55" s="194" t="s">
        <v>391</v>
      </c>
      <c r="J55" s="194" t="s">
        <v>331</v>
      </c>
      <c r="K55" s="197"/>
      <c r="L55" s="197"/>
      <c r="M55" s="194" t="s">
        <v>2956</v>
      </c>
    </row>
    <row r="56" spans="1:13" ht="26.25">
      <c r="A56" s="194">
        <v>55</v>
      </c>
      <c r="B56" s="194" t="s">
        <v>3038</v>
      </c>
      <c r="C56" s="194" t="s">
        <v>2969</v>
      </c>
      <c r="D56" s="194" t="s">
        <v>2992</v>
      </c>
      <c r="E56" s="194">
        <v>4</v>
      </c>
      <c r="F56" s="194" t="s">
        <v>33</v>
      </c>
      <c r="G56" s="194" t="s">
        <v>3011</v>
      </c>
      <c r="H56" s="195">
        <v>800</v>
      </c>
      <c r="I56" s="194" t="s">
        <v>391</v>
      </c>
      <c r="J56" s="194" t="s">
        <v>331</v>
      </c>
      <c r="K56" s="197"/>
      <c r="L56" s="197"/>
      <c r="M56" s="194" t="s">
        <v>2956</v>
      </c>
    </row>
    <row r="57" spans="1:13" ht="26.25">
      <c r="A57" s="194">
        <v>56</v>
      </c>
      <c r="B57" s="194" t="s">
        <v>3039</v>
      </c>
      <c r="C57" s="194" t="s">
        <v>2969</v>
      </c>
      <c r="D57" s="194" t="s">
        <v>2992</v>
      </c>
      <c r="E57" s="194">
        <v>12</v>
      </c>
      <c r="F57" s="194" t="s">
        <v>33</v>
      </c>
      <c r="G57" s="194" t="s">
        <v>3011</v>
      </c>
      <c r="H57" s="195">
        <v>360</v>
      </c>
      <c r="I57" s="194" t="s">
        <v>391</v>
      </c>
      <c r="J57" s="194" t="s">
        <v>331</v>
      </c>
      <c r="K57" s="197"/>
      <c r="L57" s="197"/>
      <c r="M57" s="194" t="s">
        <v>2956</v>
      </c>
    </row>
    <row r="58" spans="1:13" ht="26.25">
      <c r="A58" s="194">
        <v>57</v>
      </c>
      <c r="B58" s="194" t="s">
        <v>3040</v>
      </c>
      <c r="C58" s="194" t="s">
        <v>2969</v>
      </c>
      <c r="D58" s="194" t="s">
        <v>2992</v>
      </c>
      <c r="E58" s="194">
        <v>3</v>
      </c>
      <c r="F58" s="194" t="s">
        <v>33</v>
      </c>
      <c r="G58" s="194" t="s">
        <v>3005</v>
      </c>
      <c r="H58" s="195">
        <v>1500</v>
      </c>
      <c r="I58" s="194" t="s">
        <v>391</v>
      </c>
      <c r="J58" s="194" t="s">
        <v>331</v>
      </c>
      <c r="K58" s="197"/>
      <c r="L58" s="197"/>
      <c r="M58" s="194" t="s">
        <v>2956</v>
      </c>
    </row>
    <row r="59" spans="1:13" ht="26.25">
      <c r="A59" s="194">
        <v>58</v>
      </c>
      <c r="B59" s="194" t="s">
        <v>3041</v>
      </c>
      <c r="C59" s="194" t="s">
        <v>2969</v>
      </c>
      <c r="D59" s="194" t="s">
        <v>2992</v>
      </c>
      <c r="E59" s="194">
        <v>3</v>
      </c>
      <c r="F59" s="194" t="s">
        <v>33</v>
      </c>
      <c r="G59" s="194" t="s">
        <v>3005</v>
      </c>
      <c r="H59" s="195">
        <v>1200</v>
      </c>
      <c r="I59" s="194" t="s">
        <v>391</v>
      </c>
      <c r="J59" s="194" t="s">
        <v>331</v>
      </c>
      <c r="K59" s="197"/>
      <c r="L59" s="197"/>
      <c r="M59" s="194" t="s">
        <v>2956</v>
      </c>
    </row>
    <row r="60" spans="1:13" ht="26.25">
      <c r="A60" s="194">
        <v>59</v>
      </c>
      <c r="B60" s="194" t="s">
        <v>3042</v>
      </c>
      <c r="C60" s="194" t="s">
        <v>2969</v>
      </c>
      <c r="D60" s="194" t="s">
        <v>2992</v>
      </c>
      <c r="E60" s="194">
        <v>12</v>
      </c>
      <c r="F60" s="194" t="s">
        <v>33</v>
      </c>
      <c r="G60" s="194" t="s">
        <v>3005</v>
      </c>
      <c r="H60" s="195">
        <v>1800</v>
      </c>
      <c r="I60" s="194" t="s">
        <v>391</v>
      </c>
      <c r="J60" s="194" t="s">
        <v>331</v>
      </c>
      <c r="K60" s="197"/>
      <c r="L60" s="197"/>
      <c r="M60" s="194" t="s">
        <v>2956</v>
      </c>
    </row>
    <row r="61" spans="1:13" ht="26.25">
      <c r="A61" s="194">
        <v>60</v>
      </c>
      <c r="B61" s="194" t="s">
        <v>3043</v>
      </c>
      <c r="C61" s="194" t="s">
        <v>2969</v>
      </c>
      <c r="D61" s="194" t="s">
        <v>2992</v>
      </c>
      <c r="E61" s="194">
        <v>100</v>
      </c>
      <c r="F61" s="194" t="s">
        <v>33</v>
      </c>
      <c r="G61" s="194" t="s">
        <v>3011</v>
      </c>
      <c r="H61" s="195">
        <v>1000</v>
      </c>
      <c r="I61" s="194" t="s">
        <v>391</v>
      </c>
      <c r="J61" s="194" t="s">
        <v>331</v>
      </c>
      <c r="K61" s="197"/>
      <c r="L61" s="197"/>
      <c r="M61" s="194" t="s">
        <v>2956</v>
      </c>
    </row>
    <row r="62" spans="1:13" ht="26.25">
      <c r="A62" s="194">
        <v>61</v>
      </c>
      <c r="B62" s="194" t="s">
        <v>3044</v>
      </c>
      <c r="C62" s="194" t="s">
        <v>2969</v>
      </c>
      <c r="D62" s="194" t="s">
        <v>2992</v>
      </c>
      <c r="E62" s="194">
        <v>100</v>
      </c>
      <c r="F62" s="194" t="s">
        <v>33</v>
      </c>
      <c r="G62" s="194" t="s">
        <v>3011</v>
      </c>
      <c r="H62" s="195">
        <v>1200</v>
      </c>
      <c r="I62" s="194" t="s">
        <v>391</v>
      </c>
      <c r="J62" s="194" t="s">
        <v>331</v>
      </c>
      <c r="K62" s="197"/>
      <c r="L62" s="197"/>
      <c r="M62" s="194" t="s">
        <v>2956</v>
      </c>
    </row>
    <row r="63" spans="1:13" ht="26.25">
      <c r="A63" s="194">
        <v>62</v>
      </c>
      <c r="B63" s="194" t="s">
        <v>3045</v>
      </c>
      <c r="C63" s="194" t="s">
        <v>2969</v>
      </c>
      <c r="D63" s="194" t="s">
        <v>2992</v>
      </c>
      <c r="E63" s="194">
        <v>100</v>
      </c>
      <c r="F63" s="194" t="s">
        <v>33</v>
      </c>
      <c r="G63" s="194" t="s">
        <v>3011</v>
      </c>
      <c r="H63" s="195">
        <v>1350</v>
      </c>
      <c r="I63" s="194" t="s">
        <v>391</v>
      </c>
      <c r="J63" s="194" t="s">
        <v>331</v>
      </c>
      <c r="K63" s="197"/>
      <c r="L63" s="197"/>
      <c r="M63" s="194" t="s">
        <v>2956</v>
      </c>
    </row>
    <row r="64" spans="1:13" ht="26.25">
      <c r="A64" s="194">
        <v>63</v>
      </c>
      <c r="B64" s="194" t="s">
        <v>3046</v>
      </c>
      <c r="C64" s="194" t="s">
        <v>2969</v>
      </c>
      <c r="D64" s="194" t="s">
        <v>2992</v>
      </c>
      <c r="E64" s="194">
        <v>10</v>
      </c>
      <c r="F64" s="194" t="s">
        <v>33</v>
      </c>
      <c r="G64" s="194" t="s">
        <v>3011</v>
      </c>
      <c r="H64" s="195">
        <v>150</v>
      </c>
      <c r="I64" s="194" t="s">
        <v>391</v>
      </c>
      <c r="J64" s="194" t="s">
        <v>331</v>
      </c>
      <c r="K64" s="197"/>
      <c r="L64" s="197"/>
      <c r="M64" s="194" t="s">
        <v>2956</v>
      </c>
    </row>
    <row r="65" spans="1:13" ht="26.25">
      <c r="A65" s="194">
        <v>64</v>
      </c>
      <c r="B65" s="194" t="s">
        <v>3047</v>
      </c>
      <c r="C65" s="194" t="s">
        <v>2969</v>
      </c>
      <c r="D65" s="194" t="s">
        <v>2992</v>
      </c>
      <c r="E65" s="194">
        <v>10</v>
      </c>
      <c r="F65" s="194" t="s">
        <v>33</v>
      </c>
      <c r="G65" s="194" t="s">
        <v>3011</v>
      </c>
      <c r="H65" s="195">
        <v>580</v>
      </c>
      <c r="I65" s="194" t="s">
        <v>391</v>
      </c>
      <c r="J65" s="194" t="s">
        <v>331</v>
      </c>
      <c r="K65" s="197"/>
      <c r="L65" s="197"/>
      <c r="M65" s="194" t="s">
        <v>2956</v>
      </c>
    </row>
    <row r="66" spans="1:13" ht="26.25">
      <c r="A66" s="194">
        <v>66</v>
      </c>
      <c r="B66" s="194" t="s">
        <v>3048</v>
      </c>
      <c r="C66" s="194" t="s">
        <v>2969</v>
      </c>
      <c r="D66" s="194" t="s">
        <v>2992</v>
      </c>
      <c r="E66" s="194">
        <v>4</v>
      </c>
      <c r="F66" s="194" t="s">
        <v>33</v>
      </c>
      <c r="G66" s="194" t="s">
        <v>3011</v>
      </c>
      <c r="H66" s="195">
        <v>120</v>
      </c>
      <c r="I66" s="194" t="s">
        <v>391</v>
      </c>
      <c r="J66" s="194" t="s">
        <v>331</v>
      </c>
      <c r="K66" s="197"/>
      <c r="L66" s="197"/>
      <c r="M66" s="194" t="s">
        <v>2956</v>
      </c>
    </row>
    <row r="67" spans="1:13" ht="26.25">
      <c r="A67" s="194">
        <v>68</v>
      </c>
      <c r="B67" s="194" t="s">
        <v>3049</v>
      </c>
      <c r="C67" s="194" t="s">
        <v>2969</v>
      </c>
      <c r="D67" s="194" t="s">
        <v>343</v>
      </c>
      <c r="E67" s="194">
        <v>300</v>
      </c>
      <c r="F67" s="194" t="s">
        <v>52</v>
      </c>
      <c r="G67" s="194" t="s">
        <v>3050</v>
      </c>
      <c r="H67" s="195">
        <v>4800</v>
      </c>
      <c r="I67" s="194" t="s">
        <v>391</v>
      </c>
      <c r="J67" s="194" t="s">
        <v>331</v>
      </c>
      <c r="K67" s="197"/>
      <c r="L67" s="197"/>
      <c r="M67" s="194" t="s">
        <v>2956</v>
      </c>
    </row>
    <row r="68" spans="1:13" ht="26.25">
      <c r="A68" s="194">
        <v>69</v>
      </c>
      <c r="B68" s="194" t="s">
        <v>3051</v>
      </c>
      <c r="C68" s="194" t="s">
        <v>2969</v>
      </c>
      <c r="D68" s="194" t="s">
        <v>2992</v>
      </c>
      <c r="E68" s="194">
        <v>20</v>
      </c>
      <c r="F68" s="194" t="s">
        <v>57</v>
      </c>
      <c r="G68" s="194" t="s">
        <v>3011</v>
      </c>
      <c r="H68" s="195">
        <v>120</v>
      </c>
      <c r="I68" s="194" t="s">
        <v>391</v>
      </c>
      <c r="J68" s="194" t="s">
        <v>331</v>
      </c>
      <c r="K68" s="197"/>
      <c r="L68" s="197"/>
      <c r="M68" s="194" t="s">
        <v>2956</v>
      </c>
    </row>
    <row r="69" spans="1:13" ht="26.25">
      <c r="A69" s="194">
        <v>71</v>
      </c>
      <c r="B69" s="194" t="s">
        <v>3052</v>
      </c>
      <c r="C69" s="194" t="s">
        <v>2969</v>
      </c>
      <c r="D69" s="194" t="s">
        <v>2992</v>
      </c>
      <c r="E69" s="194">
        <v>5</v>
      </c>
      <c r="F69" s="194" t="s">
        <v>33</v>
      </c>
      <c r="G69" s="194" t="s">
        <v>3011</v>
      </c>
      <c r="H69" s="195">
        <v>60</v>
      </c>
      <c r="I69" s="194" t="s">
        <v>391</v>
      </c>
      <c r="J69" s="194" t="s">
        <v>331</v>
      </c>
      <c r="K69" s="197"/>
      <c r="L69" s="197"/>
      <c r="M69" s="194" t="s">
        <v>2956</v>
      </c>
    </row>
    <row r="70" spans="1:13" ht="26.25">
      <c r="A70" s="194">
        <v>72</v>
      </c>
      <c r="B70" s="194" t="s">
        <v>3053</v>
      </c>
      <c r="C70" s="194" t="s">
        <v>2969</v>
      </c>
      <c r="D70" s="194" t="s">
        <v>2992</v>
      </c>
      <c r="E70" s="194">
        <v>10</v>
      </c>
      <c r="F70" s="194" t="s">
        <v>33</v>
      </c>
      <c r="G70" s="194" t="s">
        <v>3054</v>
      </c>
      <c r="H70" s="195">
        <v>40000</v>
      </c>
      <c r="I70" s="194" t="s">
        <v>391</v>
      </c>
      <c r="J70" s="194" t="s">
        <v>331</v>
      </c>
      <c r="K70" s="197"/>
      <c r="L70" s="197"/>
      <c r="M70" s="194" t="s">
        <v>2956</v>
      </c>
    </row>
    <row r="71" spans="1:13" ht="26.25">
      <c r="A71" s="194">
        <v>73</v>
      </c>
      <c r="B71" s="194" t="s">
        <v>3055</v>
      </c>
      <c r="C71" s="194" t="s">
        <v>2969</v>
      </c>
      <c r="D71" s="194" t="s">
        <v>2992</v>
      </c>
      <c r="E71" s="194">
        <v>3</v>
      </c>
      <c r="F71" s="194" t="s">
        <v>33</v>
      </c>
      <c r="G71" s="194" t="s">
        <v>3054</v>
      </c>
      <c r="H71" s="195">
        <v>6000</v>
      </c>
      <c r="I71" s="194" t="s">
        <v>391</v>
      </c>
      <c r="J71" s="194" t="s">
        <v>331</v>
      </c>
      <c r="K71" s="197"/>
      <c r="L71" s="197"/>
      <c r="M71" s="194" t="s">
        <v>2956</v>
      </c>
    </row>
    <row r="72" spans="1:13" ht="26.25">
      <c r="A72" s="194">
        <v>72</v>
      </c>
      <c r="B72" s="194" t="s">
        <v>3056</v>
      </c>
      <c r="C72" s="194" t="s">
        <v>2969</v>
      </c>
      <c r="D72" s="194" t="s">
        <v>2992</v>
      </c>
      <c r="E72" s="194">
        <v>6</v>
      </c>
      <c r="F72" s="194" t="s">
        <v>33</v>
      </c>
      <c r="G72" s="194" t="s">
        <v>3054</v>
      </c>
      <c r="H72" s="195">
        <v>240</v>
      </c>
      <c r="I72" s="194" t="s">
        <v>391</v>
      </c>
      <c r="J72" s="194" t="s">
        <v>331</v>
      </c>
      <c r="K72" s="197"/>
      <c r="L72" s="197"/>
      <c r="M72" s="194"/>
    </row>
    <row r="73" spans="1:13" ht="26.25">
      <c r="A73" s="194">
        <v>74</v>
      </c>
      <c r="B73" s="194" t="s">
        <v>3057</v>
      </c>
      <c r="C73" s="194" t="s">
        <v>2969</v>
      </c>
      <c r="D73" s="194" t="s">
        <v>2992</v>
      </c>
      <c r="E73" s="194">
        <v>3</v>
      </c>
      <c r="F73" s="194" t="s">
        <v>33</v>
      </c>
      <c r="G73" s="194" t="s">
        <v>3054</v>
      </c>
      <c r="H73" s="195">
        <v>790</v>
      </c>
      <c r="I73" s="194" t="s">
        <v>391</v>
      </c>
      <c r="J73" s="194" t="s">
        <v>331</v>
      </c>
      <c r="K73" s="197"/>
      <c r="L73" s="197"/>
      <c r="M73" s="194" t="s">
        <v>2956</v>
      </c>
    </row>
    <row r="74" spans="1:13" ht="26.25">
      <c r="A74" s="194">
        <v>75</v>
      </c>
      <c r="B74" s="194" t="s">
        <v>3058</v>
      </c>
      <c r="C74" s="194" t="s">
        <v>2969</v>
      </c>
      <c r="D74" s="194" t="s">
        <v>2992</v>
      </c>
      <c r="E74" s="194">
        <v>5</v>
      </c>
      <c r="F74" s="194" t="s">
        <v>33</v>
      </c>
      <c r="G74" s="194" t="s">
        <v>3054</v>
      </c>
      <c r="H74" s="195">
        <v>750</v>
      </c>
      <c r="I74" s="194" t="s">
        <v>391</v>
      </c>
      <c r="J74" s="194" t="s">
        <v>331</v>
      </c>
      <c r="K74" s="197"/>
      <c r="L74" s="197"/>
      <c r="M74" s="194" t="s">
        <v>2956</v>
      </c>
    </row>
    <row r="75" spans="1:13" ht="26.25">
      <c r="A75" s="194">
        <v>76</v>
      </c>
      <c r="B75" s="194" t="s">
        <v>3059</v>
      </c>
      <c r="C75" s="194" t="s">
        <v>2969</v>
      </c>
      <c r="D75" s="194" t="s">
        <v>2992</v>
      </c>
      <c r="E75" s="194">
        <v>2</v>
      </c>
      <c r="F75" s="194" t="s">
        <v>33</v>
      </c>
      <c r="G75" s="194" t="s">
        <v>3054</v>
      </c>
      <c r="H75" s="195">
        <v>260</v>
      </c>
      <c r="I75" s="194" t="s">
        <v>391</v>
      </c>
      <c r="J75" s="194" t="s">
        <v>331</v>
      </c>
      <c r="K75" s="197"/>
      <c r="L75" s="197"/>
      <c r="M75" s="194" t="s">
        <v>2956</v>
      </c>
    </row>
    <row r="76" spans="1:13" ht="26.25">
      <c r="A76" s="194">
        <v>77</v>
      </c>
      <c r="B76" s="194" t="s">
        <v>3060</v>
      </c>
      <c r="C76" s="194" t="s">
        <v>2969</v>
      </c>
      <c r="D76" s="194" t="s">
        <v>2992</v>
      </c>
      <c r="E76" s="194">
        <v>2</v>
      </c>
      <c r="F76" s="194" t="s">
        <v>33</v>
      </c>
      <c r="G76" s="194" t="s">
        <v>3054</v>
      </c>
      <c r="H76" s="195">
        <v>1050</v>
      </c>
      <c r="I76" s="194" t="s">
        <v>391</v>
      </c>
      <c r="J76" s="194" t="s">
        <v>331</v>
      </c>
      <c r="K76" s="197"/>
      <c r="L76" s="197"/>
      <c r="M76" s="194" t="s">
        <v>2956</v>
      </c>
    </row>
    <row r="77" spans="1:13" ht="26.25">
      <c r="A77" s="194">
        <v>78</v>
      </c>
      <c r="B77" s="194" t="s">
        <v>3061</v>
      </c>
      <c r="C77" s="194" t="s">
        <v>2969</v>
      </c>
      <c r="D77" s="194" t="s">
        <v>2992</v>
      </c>
      <c r="E77" s="194">
        <v>10</v>
      </c>
      <c r="F77" s="194" t="s">
        <v>33</v>
      </c>
      <c r="G77" s="194" t="s">
        <v>3054</v>
      </c>
      <c r="H77" s="195">
        <v>400</v>
      </c>
      <c r="I77" s="194" t="s">
        <v>391</v>
      </c>
      <c r="J77" s="194" t="s">
        <v>331</v>
      </c>
      <c r="K77" s="197"/>
      <c r="L77" s="197"/>
      <c r="M77" s="194" t="s">
        <v>2956</v>
      </c>
    </row>
    <row r="78" spans="1:13" ht="26.25">
      <c r="A78" s="194">
        <v>79</v>
      </c>
      <c r="B78" s="194" t="s">
        <v>3062</v>
      </c>
      <c r="C78" s="194" t="s">
        <v>2969</v>
      </c>
      <c r="D78" s="194" t="s">
        <v>2992</v>
      </c>
      <c r="E78" s="194">
        <v>15</v>
      </c>
      <c r="F78" s="194" t="s">
        <v>33</v>
      </c>
      <c r="G78" s="194" t="s">
        <v>3054</v>
      </c>
      <c r="H78" s="195">
        <v>2500</v>
      </c>
      <c r="I78" s="194" t="s">
        <v>391</v>
      </c>
      <c r="J78" s="194" t="s">
        <v>331</v>
      </c>
      <c r="K78" s="197"/>
      <c r="L78" s="197"/>
      <c r="M78" s="194" t="s">
        <v>2956</v>
      </c>
    </row>
    <row r="79" spans="1:13" ht="26.25">
      <c r="A79" s="194">
        <v>80</v>
      </c>
      <c r="B79" s="194" t="s">
        <v>3063</v>
      </c>
      <c r="C79" s="194" t="s">
        <v>2969</v>
      </c>
      <c r="D79" s="194" t="s">
        <v>2992</v>
      </c>
      <c r="E79" s="194">
        <v>10</v>
      </c>
      <c r="F79" s="194" t="s">
        <v>33</v>
      </c>
      <c r="G79" s="194" t="s">
        <v>3054</v>
      </c>
      <c r="H79" s="195">
        <v>300</v>
      </c>
      <c r="I79" s="194" t="s">
        <v>391</v>
      </c>
      <c r="J79" s="194" t="s">
        <v>331</v>
      </c>
      <c r="K79" s="197"/>
      <c r="L79" s="197"/>
      <c r="M79" s="194" t="s">
        <v>2956</v>
      </c>
    </row>
    <row r="80" spans="1:13" ht="26.25">
      <c r="A80" s="194">
        <v>81</v>
      </c>
      <c r="B80" s="194" t="s">
        <v>3064</v>
      </c>
      <c r="C80" s="194" t="s">
        <v>2969</v>
      </c>
      <c r="D80" s="194" t="s">
        <v>2992</v>
      </c>
      <c r="E80" s="194">
        <v>5</v>
      </c>
      <c r="F80" s="194" t="s">
        <v>33</v>
      </c>
      <c r="G80" s="194" t="s">
        <v>3054</v>
      </c>
      <c r="H80" s="195">
        <v>640</v>
      </c>
      <c r="I80" s="194" t="s">
        <v>391</v>
      </c>
      <c r="J80" s="194" t="s">
        <v>331</v>
      </c>
      <c r="K80" s="197"/>
      <c r="L80" s="197"/>
      <c r="M80" s="194" t="s">
        <v>2956</v>
      </c>
    </row>
    <row r="81" spans="1:13" ht="26.25">
      <c r="A81" s="194">
        <v>82</v>
      </c>
      <c r="B81" s="194" t="s">
        <v>3065</v>
      </c>
      <c r="C81" s="194" t="s">
        <v>2969</v>
      </c>
      <c r="D81" s="194" t="s">
        <v>2992</v>
      </c>
      <c r="E81" s="194">
        <v>2</v>
      </c>
      <c r="F81" s="194" t="s">
        <v>33</v>
      </c>
      <c r="G81" s="194" t="s">
        <v>3054</v>
      </c>
      <c r="H81" s="195">
        <v>5000</v>
      </c>
      <c r="I81" s="194" t="s">
        <v>391</v>
      </c>
      <c r="J81" s="194" t="s">
        <v>331</v>
      </c>
      <c r="K81" s="197"/>
      <c r="L81" s="197"/>
      <c r="M81" s="194" t="s">
        <v>2956</v>
      </c>
    </row>
    <row r="82" spans="1:13" ht="26.25">
      <c r="A82" s="194">
        <v>83</v>
      </c>
      <c r="B82" s="194" t="s">
        <v>3066</v>
      </c>
      <c r="C82" s="194" t="s">
        <v>2969</v>
      </c>
      <c r="D82" s="194" t="s">
        <v>2992</v>
      </c>
      <c r="E82" s="194">
        <v>5</v>
      </c>
      <c r="F82" s="194" t="s">
        <v>33</v>
      </c>
      <c r="G82" s="194" t="s">
        <v>3054</v>
      </c>
      <c r="H82" s="195">
        <v>15000</v>
      </c>
      <c r="I82" s="194" t="s">
        <v>391</v>
      </c>
      <c r="J82" s="194" t="s">
        <v>331</v>
      </c>
      <c r="K82" s="197"/>
      <c r="L82" s="197"/>
      <c r="M82" s="194" t="s">
        <v>2956</v>
      </c>
    </row>
    <row r="83" spans="1:13" ht="26.25">
      <c r="A83" s="194">
        <v>85</v>
      </c>
      <c r="B83" s="194" t="s">
        <v>3067</v>
      </c>
      <c r="C83" s="194" t="s">
        <v>2969</v>
      </c>
      <c r="D83" s="194" t="s">
        <v>2992</v>
      </c>
      <c r="E83" s="194">
        <v>26</v>
      </c>
      <c r="F83" s="194" t="s">
        <v>33</v>
      </c>
      <c r="G83" s="194" t="s">
        <v>3054</v>
      </c>
      <c r="H83" s="195">
        <v>91000</v>
      </c>
      <c r="I83" s="194" t="s">
        <v>391</v>
      </c>
      <c r="J83" s="194" t="s">
        <v>331</v>
      </c>
      <c r="K83" s="197"/>
      <c r="L83" s="197"/>
      <c r="M83" s="194" t="s">
        <v>2956</v>
      </c>
    </row>
    <row r="84" spans="1:13" ht="26.25">
      <c r="A84" s="194">
        <v>86</v>
      </c>
      <c r="B84" s="194" t="s">
        <v>3068</v>
      </c>
      <c r="C84" s="194" t="s">
        <v>2969</v>
      </c>
      <c r="D84" s="194" t="s">
        <v>2992</v>
      </c>
      <c r="E84" s="194">
        <v>26</v>
      </c>
      <c r="F84" s="194" t="s">
        <v>33</v>
      </c>
      <c r="G84" s="194" t="s">
        <v>3054</v>
      </c>
      <c r="H84" s="195">
        <v>2600</v>
      </c>
      <c r="I84" s="194" t="s">
        <v>391</v>
      </c>
      <c r="J84" s="194" t="s">
        <v>331</v>
      </c>
      <c r="K84" s="197"/>
      <c r="L84" s="197"/>
      <c r="M84" s="194" t="s">
        <v>2956</v>
      </c>
    </row>
    <row r="85" spans="1:13" ht="26.25">
      <c r="A85" s="194">
        <v>87</v>
      </c>
      <c r="B85" s="194" t="s">
        <v>3069</v>
      </c>
      <c r="C85" s="194" t="s">
        <v>2969</v>
      </c>
      <c r="D85" s="194" t="s">
        <v>2992</v>
      </c>
      <c r="E85" s="194">
        <v>26</v>
      </c>
      <c r="F85" s="194" t="s">
        <v>33</v>
      </c>
      <c r="G85" s="194" t="s">
        <v>3054</v>
      </c>
      <c r="H85" s="195">
        <v>10400</v>
      </c>
      <c r="I85" s="194" t="s">
        <v>391</v>
      </c>
      <c r="J85" s="194" t="s">
        <v>331</v>
      </c>
      <c r="K85" s="197"/>
      <c r="L85" s="197"/>
      <c r="M85" s="194" t="s">
        <v>2956</v>
      </c>
    </row>
    <row r="86" spans="1:13" ht="26.25">
      <c r="A86" s="194">
        <v>87</v>
      </c>
      <c r="B86" s="194" t="s">
        <v>3070</v>
      </c>
      <c r="C86" s="194" t="s">
        <v>2969</v>
      </c>
      <c r="D86" s="194" t="s">
        <v>2992</v>
      </c>
      <c r="E86" s="194">
        <v>10</v>
      </c>
      <c r="F86" s="194" t="s">
        <v>33</v>
      </c>
      <c r="G86" s="194" t="s">
        <v>3054</v>
      </c>
      <c r="H86" s="195">
        <v>200</v>
      </c>
      <c r="I86" s="194" t="s">
        <v>391</v>
      </c>
      <c r="J86" s="194" t="s">
        <v>331</v>
      </c>
      <c r="K86" s="197"/>
      <c r="L86" s="197"/>
      <c r="M86" s="194" t="s">
        <v>2956</v>
      </c>
    </row>
    <row r="87" spans="1:13" ht="26.25">
      <c r="A87" s="194">
        <v>88</v>
      </c>
      <c r="B87" s="194" t="s">
        <v>3071</v>
      </c>
      <c r="C87" s="194" t="s">
        <v>2969</v>
      </c>
      <c r="D87" s="194" t="s">
        <v>2992</v>
      </c>
      <c r="E87" s="194">
        <v>4</v>
      </c>
      <c r="F87" s="194" t="s">
        <v>33</v>
      </c>
      <c r="G87" s="194" t="s">
        <v>3054</v>
      </c>
      <c r="H87" s="195">
        <v>1600</v>
      </c>
      <c r="I87" s="194" t="s">
        <v>391</v>
      </c>
      <c r="J87" s="194" t="s">
        <v>331</v>
      </c>
      <c r="K87" s="197"/>
      <c r="L87" s="197"/>
      <c r="M87" s="194" t="s">
        <v>2956</v>
      </c>
    </row>
    <row r="88" spans="1:13" ht="26.25">
      <c r="A88" s="194">
        <v>89</v>
      </c>
      <c r="B88" s="194" t="s">
        <v>3072</v>
      </c>
      <c r="C88" s="194" t="s">
        <v>2969</v>
      </c>
      <c r="D88" s="194" t="s">
        <v>2992</v>
      </c>
      <c r="E88" s="194">
        <v>1</v>
      </c>
      <c r="F88" s="194" t="s">
        <v>33</v>
      </c>
      <c r="G88" s="194" t="s">
        <v>3054</v>
      </c>
      <c r="H88" s="195">
        <v>348</v>
      </c>
      <c r="I88" s="194" t="s">
        <v>391</v>
      </c>
      <c r="J88" s="194" t="s">
        <v>331</v>
      </c>
      <c r="K88" s="197"/>
      <c r="L88" s="197"/>
      <c r="M88" s="194" t="s">
        <v>2956</v>
      </c>
    </row>
    <row r="89" spans="1:13" ht="26.25">
      <c r="A89" s="194">
        <v>90</v>
      </c>
      <c r="B89" s="194" t="s">
        <v>3073</v>
      </c>
      <c r="C89" s="194" t="s">
        <v>2969</v>
      </c>
      <c r="D89" s="194" t="s">
        <v>2992</v>
      </c>
      <c r="E89" s="194">
        <v>5</v>
      </c>
      <c r="F89" s="194" t="s">
        <v>33</v>
      </c>
      <c r="G89" s="194" t="s">
        <v>3054</v>
      </c>
      <c r="H89" s="195">
        <v>3955</v>
      </c>
      <c r="I89" s="194" t="s">
        <v>391</v>
      </c>
      <c r="J89" s="194" t="s">
        <v>331</v>
      </c>
      <c r="K89" s="197"/>
      <c r="L89" s="197"/>
      <c r="M89" s="194" t="s">
        <v>2956</v>
      </c>
    </row>
    <row r="90" spans="1:13" ht="26.25">
      <c r="A90" s="194">
        <v>92</v>
      </c>
      <c r="B90" s="194" t="s">
        <v>3074</v>
      </c>
      <c r="C90" s="194" t="s">
        <v>2969</v>
      </c>
      <c r="D90" s="194" t="s">
        <v>2992</v>
      </c>
      <c r="E90" s="194">
        <v>26</v>
      </c>
      <c r="F90" s="194" t="s">
        <v>33</v>
      </c>
      <c r="G90" s="194" t="s">
        <v>3054</v>
      </c>
      <c r="H90" s="195">
        <v>1300</v>
      </c>
      <c r="I90" s="194" t="s">
        <v>391</v>
      </c>
      <c r="J90" s="194" t="s">
        <v>331</v>
      </c>
      <c r="K90" s="197"/>
      <c r="L90" s="197"/>
      <c r="M90" s="194" t="s">
        <v>2956</v>
      </c>
    </row>
    <row r="91" spans="1:13" ht="26.25">
      <c r="A91" s="194">
        <v>93</v>
      </c>
      <c r="B91" s="194" t="s">
        <v>3075</v>
      </c>
      <c r="C91" s="194" t="s">
        <v>2969</v>
      </c>
      <c r="D91" s="194" t="s">
        <v>2992</v>
      </c>
      <c r="E91" s="194">
        <v>26</v>
      </c>
      <c r="F91" s="194" t="s">
        <v>33</v>
      </c>
      <c r="G91" s="194" t="s">
        <v>3054</v>
      </c>
      <c r="H91" s="195">
        <v>520</v>
      </c>
      <c r="I91" s="197"/>
      <c r="J91" s="197"/>
      <c r="K91" s="197"/>
      <c r="L91" s="197"/>
      <c r="M91" s="197"/>
    </row>
    <row r="92" spans="1:13" ht="26.25">
      <c r="A92" s="194">
        <v>93</v>
      </c>
      <c r="B92" s="194" t="s">
        <v>3076</v>
      </c>
      <c r="C92" s="194" t="s">
        <v>2969</v>
      </c>
      <c r="D92" s="194" t="s">
        <v>343</v>
      </c>
      <c r="E92" s="194">
        <v>4</v>
      </c>
      <c r="F92" s="194" t="s">
        <v>57</v>
      </c>
      <c r="G92" s="194" t="s">
        <v>3077</v>
      </c>
      <c r="H92" s="195">
        <v>140</v>
      </c>
      <c r="I92" s="194" t="s">
        <v>391</v>
      </c>
      <c r="J92" s="194" t="s">
        <v>331</v>
      </c>
      <c r="K92" s="197"/>
      <c r="L92" s="197"/>
      <c r="M92" s="194" t="s">
        <v>2956</v>
      </c>
    </row>
    <row r="93" spans="1:13" ht="26.25">
      <c r="A93" s="194">
        <v>94</v>
      </c>
      <c r="B93" s="194" t="s">
        <v>3078</v>
      </c>
      <c r="C93" s="194" t="s">
        <v>2969</v>
      </c>
      <c r="D93" s="194" t="s">
        <v>343</v>
      </c>
      <c r="E93" s="194">
        <v>60</v>
      </c>
      <c r="F93" s="194" t="s">
        <v>57</v>
      </c>
      <c r="G93" s="194" t="s">
        <v>3077</v>
      </c>
      <c r="H93" s="195">
        <v>1500</v>
      </c>
      <c r="I93" s="194" t="s">
        <v>391</v>
      </c>
      <c r="J93" s="194" t="s">
        <v>331</v>
      </c>
      <c r="K93" s="197"/>
      <c r="L93" s="197"/>
      <c r="M93" s="194" t="s">
        <v>2956</v>
      </c>
    </row>
    <row r="94" spans="1:13" ht="26.25">
      <c r="A94" s="194">
        <v>95</v>
      </c>
      <c r="B94" s="194" t="s">
        <v>3079</v>
      </c>
      <c r="C94" s="194" t="s">
        <v>2969</v>
      </c>
      <c r="D94" s="194" t="s">
        <v>343</v>
      </c>
      <c r="E94" s="194">
        <v>10</v>
      </c>
      <c r="F94" s="194" t="s">
        <v>33</v>
      </c>
      <c r="G94" s="194" t="s">
        <v>3077</v>
      </c>
      <c r="H94" s="195">
        <v>950</v>
      </c>
      <c r="I94" s="194" t="s">
        <v>391</v>
      </c>
      <c r="J94" s="194" t="s">
        <v>331</v>
      </c>
      <c r="K94" s="197"/>
      <c r="L94" s="197"/>
      <c r="M94" s="194" t="s">
        <v>2956</v>
      </c>
    </row>
    <row r="95" spans="1:13" ht="26.25">
      <c r="A95" s="194">
        <v>96</v>
      </c>
      <c r="B95" s="194" t="s">
        <v>3080</v>
      </c>
      <c r="C95" s="194" t="s">
        <v>2969</v>
      </c>
      <c r="D95" s="194" t="s">
        <v>343</v>
      </c>
      <c r="E95" s="194">
        <v>10</v>
      </c>
      <c r="F95" s="194" t="s">
        <v>57</v>
      </c>
      <c r="G95" s="194" t="s">
        <v>3077</v>
      </c>
      <c r="H95" s="195">
        <v>150</v>
      </c>
      <c r="I95" s="194" t="s">
        <v>391</v>
      </c>
      <c r="J95" s="194" t="s">
        <v>331</v>
      </c>
      <c r="K95" s="197"/>
      <c r="L95" s="197"/>
      <c r="M95" s="194" t="s">
        <v>2956</v>
      </c>
    </row>
    <row r="96" spans="1:13" ht="26.25">
      <c r="A96" s="194">
        <v>97</v>
      </c>
      <c r="B96" s="194" t="s">
        <v>3081</v>
      </c>
      <c r="C96" s="194" t="s">
        <v>2969</v>
      </c>
      <c r="D96" s="194" t="s">
        <v>343</v>
      </c>
      <c r="E96" s="194">
        <v>50</v>
      </c>
      <c r="F96" s="194" t="s">
        <v>33</v>
      </c>
      <c r="G96" s="194" t="s">
        <v>3077</v>
      </c>
      <c r="H96" s="195">
        <v>1500</v>
      </c>
      <c r="I96" s="194" t="s">
        <v>391</v>
      </c>
      <c r="J96" s="194" t="s">
        <v>331</v>
      </c>
      <c r="K96" s="197"/>
      <c r="L96" s="197"/>
      <c r="M96" s="194" t="s">
        <v>2956</v>
      </c>
    </row>
    <row r="97" spans="1:13" ht="26.25">
      <c r="A97" s="194">
        <v>98</v>
      </c>
      <c r="B97" s="194" t="s">
        <v>3082</v>
      </c>
      <c r="C97" s="194" t="s">
        <v>2969</v>
      </c>
      <c r="D97" s="194" t="s">
        <v>343</v>
      </c>
      <c r="E97" s="194">
        <v>10</v>
      </c>
      <c r="F97" s="194" t="s">
        <v>52</v>
      </c>
      <c r="G97" s="194" t="s">
        <v>3077</v>
      </c>
      <c r="H97" s="195">
        <v>410</v>
      </c>
      <c r="I97" s="194" t="s">
        <v>391</v>
      </c>
      <c r="J97" s="194" t="s">
        <v>331</v>
      </c>
      <c r="K97" s="197"/>
      <c r="L97" s="197"/>
      <c r="M97" s="194" t="s">
        <v>2956</v>
      </c>
    </row>
    <row r="98" spans="1:13" ht="26.25">
      <c r="A98" s="194">
        <v>100</v>
      </c>
      <c r="B98" s="194" t="s">
        <v>3083</v>
      </c>
      <c r="C98" s="194" t="s">
        <v>2969</v>
      </c>
      <c r="D98" s="194" t="s">
        <v>343</v>
      </c>
      <c r="E98" s="194">
        <v>10</v>
      </c>
      <c r="F98" s="194" t="s">
        <v>57</v>
      </c>
      <c r="G98" s="194" t="s">
        <v>3077</v>
      </c>
      <c r="H98" s="195">
        <v>333</v>
      </c>
      <c r="I98" s="194" t="s">
        <v>391</v>
      </c>
      <c r="J98" s="194" t="s">
        <v>331</v>
      </c>
      <c r="K98" s="197"/>
      <c r="L98" s="197"/>
      <c r="M98" s="194" t="s">
        <v>2956</v>
      </c>
    </row>
    <row r="99" spans="1:13" ht="26.25">
      <c r="A99" s="194">
        <v>101</v>
      </c>
      <c r="B99" s="194" t="s">
        <v>3084</v>
      </c>
      <c r="C99" s="194" t="s">
        <v>2969</v>
      </c>
      <c r="D99" s="194" t="s">
        <v>343</v>
      </c>
      <c r="E99" s="194">
        <v>12</v>
      </c>
      <c r="F99" s="194" t="s">
        <v>33</v>
      </c>
      <c r="G99" s="194" t="s">
        <v>3077</v>
      </c>
      <c r="H99" s="195">
        <v>250</v>
      </c>
      <c r="I99" s="194" t="s">
        <v>391</v>
      </c>
      <c r="J99" s="194" t="s">
        <v>331</v>
      </c>
      <c r="K99" s="197"/>
      <c r="L99" s="197"/>
      <c r="M99" s="194" t="s">
        <v>2956</v>
      </c>
    </row>
    <row r="100" spans="1:13" ht="26.25">
      <c r="A100" s="194">
        <v>102</v>
      </c>
      <c r="B100" s="194" t="s">
        <v>3085</v>
      </c>
      <c r="C100" s="194" t="s">
        <v>2969</v>
      </c>
      <c r="D100" s="194" t="s">
        <v>343</v>
      </c>
      <c r="E100" s="194">
        <v>3</v>
      </c>
      <c r="F100" s="194" t="s">
        <v>52</v>
      </c>
      <c r="G100" s="194" t="s">
        <v>3077</v>
      </c>
      <c r="H100" s="195">
        <v>380</v>
      </c>
      <c r="I100" s="194" t="s">
        <v>391</v>
      </c>
      <c r="J100" s="194" t="s">
        <v>331</v>
      </c>
      <c r="K100" s="197"/>
      <c r="L100" s="197"/>
      <c r="M100" s="194" t="s">
        <v>2956</v>
      </c>
    </row>
    <row r="101" spans="1:13" ht="26.25">
      <c r="A101" s="194">
        <v>103</v>
      </c>
      <c r="B101" s="194" t="s">
        <v>3086</v>
      </c>
      <c r="C101" s="194" t="s">
        <v>2969</v>
      </c>
      <c r="D101" s="194" t="s">
        <v>343</v>
      </c>
      <c r="E101" s="194">
        <v>5</v>
      </c>
      <c r="F101" s="194" t="s">
        <v>57</v>
      </c>
      <c r="G101" s="194" t="s">
        <v>3077</v>
      </c>
      <c r="H101" s="195">
        <v>250</v>
      </c>
      <c r="I101" s="194" t="s">
        <v>391</v>
      </c>
      <c r="J101" s="194" t="s">
        <v>331</v>
      </c>
      <c r="K101" s="197"/>
      <c r="L101" s="197"/>
      <c r="M101" s="194" t="s">
        <v>2956</v>
      </c>
    </row>
    <row r="102" spans="1:13" ht="26.25">
      <c r="A102" s="194">
        <v>103</v>
      </c>
      <c r="B102" s="194" t="s">
        <v>3087</v>
      </c>
      <c r="C102" s="194" t="s">
        <v>2969</v>
      </c>
      <c r="D102" s="194" t="s">
        <v>343</v>
      </c>
      <c r="E102" s="194">
        <v>5</v>
      </c>
      <c r="F102" s="194" t="s">
        <v>57</v>
      </c>
      <c r="G102" s="194" t="s">
        <v>3077</v>
      </c>
      <c r="H102" s="195">
        <v>250</v>
      </c>
      <c r="I102" s="194" t="s">
        <v>391</v>
      </c>
      <c r="J102" s="194" t="s">
        <v>331</v>
      </c>
      <c r="K102" s="197"/>
      <c r="L102" s="197"/>
      <c r="M102" s="194" t="s">
        <v>2956</v>
      </c>
    </row>
    <row r="103" spans="1:13" ht="26.25">
      <c r="A103" s="194">
        <v>104</v>
      </c>
      <c r="B103" s="194" t="s">
        <v>3088</v>
      </c>
      <c r="C103" s="194" t="s">
        <v>2969</v>
      </c>
      <c r="D103" s="194" t="s">
        <v>343</v>
      </c>
      <c r="E103" s="194">
        <v>18</v>
      </c>
      <c r="F103" s="194" t="s">
        <v>57</v>
      </c>
      <c r="G103" s="194" t="s">
        <v>3077</v>
      </c>
      <c r="H103" s="195">
        <v>900</v>
      </c>
      <c r="I103" s="194" t="s">
        <v>391</v>
      </c>
      <c r="J103" s="194" t="s">
        <v>331</v>
      </c>
      <c r="K103" s="197"/>
      <c r="L103" s="197"/>
      <c r="M103" s="194" t="s">
        <v>2956</v>
      </c>
    </row>
    <row r="104" spans="1:13" ht="26.25">
      <c r="A104" s="194">
        <v>105</v>
      </c>
      <c r="B104" s="194" t="s">
        <v>3089</v>
      </c>
      <c r="C104" s="194" t="s">
        <v>2969</v>
      </c>
      <c r="D104" s="194" t="s">
        <v>343</v>
      </c>
      <c r="E104" s="194">
        <v>60</v>
      </c>
      <c r="F104" s="194" t="s">
        <v>33</v>
      </c>
      <c r="G104" s="194" t="s">
        <v>3077</v>
      </c>
      <c r="H104" s="195">
        <v>1200</v>
      </c>
      <c r="I104" s="194" t="s">
        <v>391</v>
      </c>
      <c r="J104" s="194" t="s">
        <v>2994</v>
      </c>
      <c r="K104" s="197"/>
      <c r="L104" s="197"/>
      <c r="M104" s="194" t="s">
        <v>2956</v>
      </c>
    </row>
    <row r="105" spans="1:13" ht="26.25">
      <c r="A105" s="194">
        <v>106</v>
      </c>
      <c r="B105" s="194" t="s">
        <v>3090</v>
      </c>
      <c r="C105" s="194" t="s">
        <v>2969</v>
      </c>
      <c r="D105" s="194" t="s">
        <v>343</v>
      </c>
      <c r="E105" s="194">
        <v>10</v>
      </c>
      <c r="F105" s="194" t="s">
        <v>928</v>
      </c>
      <c r="G105" s="194" t="s">
        <v>3077</v>
      </c>
      <c r="H105" s="195">
        <v>499</v>
      </c>
      <c r="I105" s="194" t="s">
        <v>391</v>
      </c>
      <c r="J105" s="194" t="s">
        <v>2994</v>
      </c>
      <c r="K105" s="197"/>
      <c r="L105" s="197"/>
      <c r="M105" s="194" t="s">
        <v>2956</v>
      </c>
    </row>
    <row r="106" spans="1:13" ht="26.25">
      <c r="A106" s="194">
        <v>107</v>
      </c>
      <c r="B106" s="194" t="s">
        <v>3091</v>
      </c>
      <c r="C106" s="194" t="s">
        <v>2969</v>
      </c>
      <c r="D106" s="194" t="s">
        <v>343</v>
      </c>
      <c r="E106" s="194">
        <v>5</v>
      </c>
      <c r="F106" s="194" t="s">
        <v>52</v>
      </c>
      <c r="G106" s="194" t="s">
        <v>3077</v>
      </c>
      <c r="H106" s="195">
        <v>400</v>
      </c>
      <c r="I106" s="194" t="s">
        <v>391</v>
      </c>
      <c r="J106" s="194" t="s">
        <v>331</v>
      </c>
      <c r="K106" s="197"/>
      <c r="L106" s="197"/>
      <c r="M106" s="194" t="s">
        <v>2956</v>
      </c>
    </row>
    <row r="107" spans="1:13" ht="26.25">
      <c r="A107" s="194">
        <v>108</v>
      </c>
      <c r="B107" s="194" t="s">
        <v>3092</v>
      </c>
      <c r="C107" s="194" t="s">
        <v>2969</v>
      </c>
      <c r="D107" s="194" t="s">
        <v>343</v>
      </c>
      <c r="E107" s="194">
        <v>10</v>
      </c>
      <c r="F107" s="194" t="s">
        <v>57</v>
      </c>
      <c r="G107" s="194" t="s">
        <v>3077</v>
      </c>
      <c r="H107" s="195">
        <v>210</v>
      </c>
      <c r="I107" s="194" t="s">
        <v>391</v>
      </c>
      <c r="J107" s="194" t="s">
        <v>331</v>
      </c>
      <c r="K107" s="197"/>
      <c r="L107" s="197"/>
      <c r="M107" s="194" t="s">
        <v>2956</v>
      </c>
    </row>
    <row r="108" spans="1:13" ht="26.25">
      <c r="A108" s="194">
        <v>109</v>
      </c>
      <c r="B108" s="194" t="s">
        <v>3093</v>
      </c>
      <c r="C108" s="194" t="s">
        <v>2969</v>
      </c>
      <c r="D108" s="194" t="s">
        <v>343</v>
      </c>
      <c r="E108" s="194">
        <v>20</v>
      </c>
      <c r="F108" s="194" t="s">
        <v>33</v>
      </c>
      <c r="G108" s="194" t="s">
        <v>3077</v>
      </c>
      <c r="H108" s="195">
        <v>600</v>
      </c>
      <c r="I108" s="194" t="s">
        <v>391</v>
      </c>
      <c r="J108" s="194" t="s">
        <v>331</v>
      </c>
      <c r="K108" s="197"/>
      <c r="L108" s="197"/>
      <c r="M108" s="194" t="s">
        <v>2956</v>
      </c>
    </row>
    <row r="109" spans="1:13" ht="26.25">
      <c r="A109" s="194">
        <v>110</v>
      </c>
      <c r="B109" s="194" t="s">
        <v>3094</v>
      </c>
      <c r="C109" s="194" t="s">
        <v>2969</v>
      </c>
      <c r="D109" s="194" t="s">
        <v>343</v>
      </c>
      <c r="E109" s="194">
        <v>20</v>
      </c>
      <c r="F109" s="194" t="s">
        <v>33</v>
      </c>
      <c r="G109" s="194" t="s">
        <v>3077</v>
      </c>
      <c r="H109" s="195">
        <v>700</v>
      </c>
      <c r="I109" s="194" t="s">
        <v>391</v>
      </c>
      <c r="J109" s="194" t="s">
        <v>331</v>
      </c>
      <c r="K109" s="197"/>
      <c r="L109" s="197"/>
      <c r="M109" s="194" t="s">
        <v>2956</v>
      </c>
    </row>
    <row r="110" spans="1:13" ht="26.25">
      <c r="A110" s="194">
        <v>111</v>
      </c>
      <c r="B110" s="194" t="s">
        <v>3095</v>
      </c>
      <c r="C110" s="194" t="s">
        <v>2969</v>
      </c>
      <c r="D110" s="194" t="s">
        <v>343</v>
      </c>
      <c r="E110" s="194">
        <v>20</v>
      </c>
      <c r="F110" s="194" t="s">
        <v>33</v>
      </c>
      <c r="G110" s="194" t="s">
        <v>3077</v>
      </c>
      <c r="H110" s="195">
        <v>700</v>
      </c>
      <c r="I110" s="194" t="s">
        <v>391</v>
      </c>
      <c r="J110" s="194" t="s">
        <v>331</v>
      </c>
      <c r="K110" s="197"/>
      <c r="L110" s="197"/>
      <c r="M110" s="194" t="s">
        <v>2956</v>
      </c>
    </row>
    <row r="111" spans="1:13" ht="26.25">
      <c r="A111" s="194">
        <v>112</v>
      </c>
      <c r="B111" s="194" t="s">
        <v>3096</v>
      </c>
      <c r="C111" s="194" t="s">
        <v>2969</v>
      </c>
      <c r="D111" s="194" t="s">
        <v>343</v>
      </c>
      <c r="E111" s="194">
        <v>75</v>
      </c>
      <c r="F111" s="194" t="s">
        <v>3097</v>
      </c>
      <c r="G111" s="194" t="s">
        <v>3077</v>
      </c>
      <c r="H111" s="195">
        <v>420</v>
      </c>
      <c r="I111" s="194" t="s">
        <v>391</v>
      </c>
      <c r="J111" s="194" t="s">
        <v>331</v>
      </c>
      <c r="K111" s="197"/>
      <c r="L111" s="197"/>
      <c r="M111" s="194" t="s">
        <v>2956</v>
      </c>
    </row>
    <row r="112" spans="1:13" ht="26.25">
      <c r="A112" s="194">
        <v>113</v>
      </c>
      <c r="B112" s="194" t="s">
        <v>3098</v>
      </c>
      <c r="C112" s="194" t="s">
        <v>2969</v>
      </c>
      <c r="D112" s="194" t="s">
        <v>343</v>
      </c>
      <c r="E112" s="194">
        <v>3</v>
      </c>
      <c r="F112" s="194" t="s">
        <v>57</v>
      </c>
      <c r="G112" s="194" t="s">
        <v>3077</v>
      </c>
      <c r="H112" s="195">
        <v>350</v>
      </c>
      <c r="I112" s="194" t="s">
        <v>391</v>
      </c>
      <c r="J112" s="194" t="s">
        <v>331</v>
      </c>
      <c r="K112" s="197"/>
      <c r="L112" s="197"/>
      <c r="M112" s="194" t="s">
        <v>2956</v>
      </c>
    </row>
    <row r="113" spans="1:13" ht="26.25">
      <c r="A113" s="194">
        <v>114</v>
      </c>
      <c r="B113" s="194" t="s">
        <v>3099</v>
      </c>
      <c r="C113" s="194" t="s">
        <v>2969</v>
      </c>
      <c r="D113" s="194" t="s">
        <v>343</v>
      </c>
      <c r="E113" s="194">
        <v>2</v>
      </c>
      <c r="F113" s="194" t="s">
        <v>57</v>
      </c>
      <c r="G113" s="194" t="s">
        <v>3077</v>
      </c>
      <c r="H113" s="195">
        <v>240</v>
      </c>
      <c r="I113" s="194" t="s">
        <v>391</v>
      </c>
      <c r="J113" s="194" t="s">
        <v>331</v>
      </c>
      <c r="K113" s="197"/>
      <c r="L113" s="197"/>
      <c r="M113" s="194" t="s">
        <v>2956</v>
      </c>
    </row>
    <row r="114" spans="1:13" ht="26.25">
      <c r="A114" s="194">
        <v>114</v>
      </c>
      <c r="B114" s="194" t="s">
        <v>3100</v>
      </c>
      <c r="C114" s="194" t="s">
        <v>2969</v>
      </c>
      <c r="D114" s="194" t="s">
        <v>343</v>
      </c>
      <c r="E114" s="194">
        <v>2</v>
      </c>
      <c r="F114" s="194" t="s">
        <v>57</v>
      </c>
      <c r="G114" s="194" t="s">
        <v>3077</v>
      </c>
      <c r="H114" s="195">
        <v>120</v>
      </c>
      <c r="I114" s="194" t="s">
        <v>391</v>
      </c>
      <c r="J114" s="194" t="s">
        <v>331</v>
      </c>
      <c r="K114" s="197"/>
      <c r="L114" s="197"/>
      <c r="M114" s="194" t="s">
        <v>2956</v>
      </c>
    </row>
    <row r="115" spans="1:13" ht="26.25">
      <c r="A115" s="194">
        <v>115</v>
      </c>
      <c r="B115" s="194" t="s">
        <v>3101</v>
      </c>
      <c r="C115" s="194" t="s">
        <v>2969</v>
      </c>
      <c r="D115" s="194" t="s">
        <v>343</v>
      </c>
      <c r="E115" s="194">
        <v>30</v>
      </c>
      <c r="F115" s="194" t="s">
        <v>3097</v>
      </c>
      <c r="G115" s="194" t="s">
        <v>3077</v>
      </c>
      <c r="H115" s="195">
        <v>750</v>
      </c>
      <c r="I115" s="194" t="s">
        <v>391</v>
      </c>
      <c r="J115" s="194" t="s">
        <v>331</v>
      </c>
      <c r="K115" s="197"/>
      <c r="L115" s="197"/>
      <c r="M115" s="194" t="s">
        <v>2956</v>
      </c>
    </row>
    <row r="116" spans="1:13" ht="26.25">
      <c r="A116" s="194">
        <v>116</v>
      </c>
      <c r="B116" s="194" t="s">
        <v>3102</v>
      </c>
      <c r="C116" s="194" t="s">
        <v>2969</v>
      </c>
      <c r="D116" s="194" t="s">
        <v>343</v>
      </c>
      <c r="E116" s="194">
        <v>20</v>
      </c>
      <c r="F116" s="194" t="s">
        <v>33</v>
      </c>
      <c r="G116" s="194" t="s">
        <v>3077</v>
      </c>
      <c r="H116" s="195">
        <v>119</v>
      </c>
      <c r="I116" s="194" t="s">
        <v>391</v>
      </c>
      <c r="J116" s="194" t="s">
        <v>331</v>
      </c>
      <c r="K116" s="197"/>
      <c r="L116" s="197"/>
      <c r="M116" s="194" t="s">
        <v>2956</v>
      </c>
    </row>
    <row r="117" spans="1:13" ht="26.25">
      <c r="A117" s="194">
        <v>117</v>
      </c>
      <c r="B117" s="194" t="s">
        <v>3103</v>
      </c>
      <c r="C117" s="194" t="s">
        <v>2969</v>
      </c>
      <c r="D117" s="194" t="s">
        <v>343</v>
      </c>
      <c r="E117" s="194">
        <v>20</v>
      </c>
      <c r="F117" s="194" t="s">
        <v>3097</v>
      </c>
      <c r="G117" s="194" t="s">
        <v>3077</v>
      </c>
      <c r="H117" s="195">
        <v>600</v>
      </c>
      <c r="I117" s="194" t="s">
        <v>391</v>
      </c>
      <c r="J117" s="194" t="s">
        <v>331</v>
      </c>
      <c r="K117" s="197"/>
      <c r="L117" s="197"/>
      <c r="M117" s="194" t="s">
        <v>2956</v>
      </c>
    </row>
    <row r="118" spans="1:13" ht="26.25">
      <c r="A118" s="194">
        <v>118</v>
      </c>
      <c r="B118" s="194" t="s">
        <v>3104</v>
      </c>
      <c r="C118" s="194" t="s">
        <v>2969</v>
      </c>
      <c r="D118" s="194" t="s">
        <v>343</v>
      </c>
      <c r="E118" s="194">
        <v>5</v>
      </c>
      <c r="F118" s="194" t="s">
        <v>3097</v>
      </c>
      <c r="G118" s="194" t="s">
        <v>3077</v>
      </c>
      <c r="H118" s="195">
        <v>695</v>
      </c>
      <c r="I118" s="194" t="s">
        <v>391</v>
      </c>
      <c r="J118" s="194" t="s">
        <v>331</v>
      </c>
      <c r="K118" s="197"/>
      <c r="L118" s="197"/>
      <c r="M118" s="194" t="s">
        <v>2956</v>
      </c>
    </row>
    <row r="119" spans="1:13" ht="26.25">
      <c r="A119" s="194">
        <v>119</v>
      </c>
      <c r="B119" s="194" t="s">
        <v>3105</v>
      </c>
      <c r="C119" s="194" t="s">
        <v>2969</v>
      </c>
      <c r="D119" s="194" t="s">
        <v>343</v>
      </c>
      <c r="E119" s="194">
        <v>12</v>
      </c>
      <c r="F119" s="194" t="s">
        <v>3106</v>
      </c>
      <c r="G119" s="194" t="s">
        <v>3077</v>
      </c>
      <c r="H119" s="195">
        <v>120</v>
      </c>
      <c r="I119" s="194" t="s">
        <v>391</v>
      </c>
      <c r="J119" s="194" t="s">
        <v>331</v>
      </c>
      <c r="K119" s="197"/>
      <c r="L119" s="197"/>
      <c r="M119" s="194" t="s">
        <v>2956</v>
      </c>
    </row>
    <row r="120" spans="1:13" ht="26.25">
      <c r="A120" s="194">
        <v>121</v>
      </c>
      <c r="B120" s="194" t="s">
        <v>3107</v>
      </c>
      <c r="C120" s="194" t="s">
        <v>2969</v>
      </c>
      <c r="D120" s="194" t="s">
        <v>343</v>
      </c>
      <c r="E120" s="194">
        <v>25</v>
      </c>
      <c r="F120" s="194" t="s">
        <v>3097</v>
      </c>
      <c r="G120" s="194" t="s">
        <v>3077</v>
      </c>
      <c r="H120" s="195">
        <v>1000</v>
      </c>
      <c r="I120" s="194" t="s">
        <v>391</v>
      </c>
      <c r="J120" s="194" t="s">
        <v>331</v>
      </c>
      <c r="K120" s="197"/>
      <c r="L120" s="197"/>
      <c r="M120" s="194" t="s">
        <v>2956</v>
      </c>
    </row>
    <row r="121" spans="1:13" ht="26.25">
      <c r="A121" s="194">
        <v>122</v>
      </c>
      <c r="B121" s="194" t="s">
        <v>3108</v>
      </c>
      <c r="C121" s="194" t="s">
        <v>2969</v>
      </c>
      <c r="D121" s="194" t="s">
        <v>343</v>
      </c>
      <c r="E121" s="194">
        <v>20</v>
      </c>
      <c r="F121" s="194" t="s">
        <v>3109</v>
      </c>
      <c r="G121" s="194" t="s">
        <v>3077</v>
      </c>
      <c r="H121" s="195">
        <v>240</v>
      </c>
      <c r="I121" s="194" t="s">
        <v>391</v>
      </c>
      <c r="J121" s="194" t="s">
        <v>331</v>
      </c>
      <c r="K121" s="197"/>
      <c r="L121" s="197"/>
      <c r="M121" s="194" t="s">
        <v>2956</v>
      </c>
    </row>
    <row r="122" spans="1:13" ht="26.25">
      <c r="A122" s="194">
        <v>123</v>
      </c>
      <c r="B122" s="194" t="s">
        <v>3110</v>
      </c>
      <c r="C122" s="194" t="s">
        <v>2969</v>
      </c>
      <c r="D122" s="194" t="s">
        <v>343</v>
      </c>
      <c r="E122" s="194">
        <v>20</v>
      </c>
      <c r="F122" s="194" t="s">
        <v>3106</v>
      </c>
      <c r="G122" s="194" t="s">
        <v>3077</v>
      </c>
      <c r="H122" s="195">
        <v>200</v>
      </c>
      <c r="I122" s="194" t="s">
        <v>391</v>
      </c>
      <c r="J122" s="194" t="s">
        <v>331</v>
      </c>
      <c r="K122" s="197"/>
      <c r="L122" s="197"/>
      <c r="M122" s="194" t="s">
        <v>2956</v>
      </c>
    </row>
    <row r="123" spans="1:13" ht="26.25">
      <c r="A123" s="194">
        <v>124</v>
      </c>
      <c r="B123" s="194" t="s">
        <v>3111</v>
      </c>
      <c r="C123" s="194" t="s">
        <v>2969</v>
      </c>
      <c r="D123" s="194" t="s">
        <v>343</v>
      </c>
      <c r="E123" s="194">
        <v>50</v>
      </c>
      <c r="F123" s="194" t="s">
        <v>3112</v>
      </c>
      <c r="G123" s="194" t="s">
        <v>3077</v>
      </c>
      <c r="H123" s="195">
        <v>1000</v>
      </c>
      <c r="I123" s="194" t="s">
        <v>391</v>
      </c>
      <c r="J123" s="194" t="s">
        <v>331</v>
      </c>
      <c r="K123" s="197"/>
      <c r="L123" s="197"/>
      <c r="M123" s="194" t="s">
        <v>2956</v>
      </c>
    </row>
    <row r="124" spans="1:13" ht="26.25">
      <c r="A124" s="194">
        <v>125</v>
      </c>
      <c r="B124" s="194" t="s">
        <v>3113</v>
      </c>
      <c r="C124" s="194" t="s">
        <v>2969</v>
      </c>
      <c r="D124" s="194" t="s">
        <v>343</v>
      </c>
      <c r="E124" s="194">
        <v>60</v>
      </c>
      <c r="F124" s="194" t="s">
        <v>3114</v>
      </c>
      <c r="G124" s="194" t="s">
        <v>3077</v>
      </c>
      <c r="H124" s="195">
        <v>630</v>
      </c>
      <c r="I124" s="194" t="s">
        <v>391</v>
      </c>
      <c r="J124" s="194" t="s">
        <v>331</v>
      </c>
      <c r="K124" s="197"/>
      <c r="L124" s="197"/>
      <c r="M124" s="194" t="s">
        <v>2956</v>
      </c>
    </row>
    <row r="125" spans="1:13" ht="26.25">
      <c r="A125" s="194">
        <v>126</v>
      </c>
      <c r="B125" s="194" t="s">
        <v>3115</v>
      </c>
      <c r="C125" s="194" t="s">
        <v>2969</v>
      </c>
      <c r="D125" s="194" t="s">
        <v>343</v>
      </c>
      <c r="E125" s="194">
        <v>10</v>
      </c>
      <c r="F125" s="194" t="s">
        <v>3097</v>
      </c>
      <c r="G125" s="194" t="s">
        <v>3077</v>
      </c>
      <c r="H125" s="195">
        <v>150</v>
      </c>
      <c r="I125" s="194" t="s">
        <v>391</v>
      </c>
      <c r="J125" s="194" t="s">
        <v>2994</v>
      </c>
      <c r="K125" s="197"/>
      <c r="L125" s="197"/>
      <c r="M125" s="194" t="s">
        <v>2956</v>
      </c>
    </row>
    <row r="126" spans="1:13" ht="26.25">
      <c r="A126" s="194">
        <v>128</v>
      </c>
      <c r="B126" s="194" t="s">
        <v>3116</v>
      </c>
      <c r="C126" s="194" t="s">
        <v>2969</v>
      </c>
      <c r="D126" s="194" t="s">
        <v>343</v>
      </c>
      <c r="E126" s="194">
        <v>20</v>
      </c>
      <c r="F126" s="194" t="s">
        <v>3106</v>
      </c>
      <c r="G126" s="194" t="s">
        <v>3077</v>
      </c>
      <c r="H126" s="195">
        <v>480</v>
      </c>
      <c r="I126" s="194" t="s">
        <v>391</v>
      </c>
      <c r="J126" s="194" t="s">
        <v>331</v>
      </c>
      <c r="K126" s="197"/>
      <c r="L126" s="197"/>
      <c r="M126" s="194" t="s">
        <v>2956</v>
      </c>
    </row>
    <row r="127" spans="1:13" ht="26.25">
      <c r="A127" s="194">
        <v>129</v>
      </c>
      <c r="B127" s="194" t="s">
        <v>3117</v>
      </c>
      <c r="C127" s="194" t="s">
        <v>2969</v>
      </c>
      <c r="D127" s="194" t="s">
        <v>343</v>
      </c>
      <c r="E127" s="194">
        <v>50</v>
      </c>
      <c r="F127" s="194" t="s">
        <v>57</v>
      </c>
      <c r="G127" s="194" t="s">
        <v>3077</v>
      </c>
      <c r="H127" s="195">
        <v>750</v>
      </c>
      <c r="I127" s="194" t="s">
        <v>391</v>
      </c>
      <c r="J127" s="194" t="s">
        <v>331</v>
      </c>
      <c r="K127" s="197"/>
      <c r="L127" s="197"/>
      <c r="M127" s="194" t="s">
        <v>2956</v>
      </c>
    </row>
    <row r="128" spans="1:13" ht="26.25">
      <c r="A128" s="194">
        <v>133</v>
      </c>
      <c r="B128" s="194" t="s">
        <v>3118</v>
      </c>
      <c r="C128" s="194" t="s">
        <v>2969</v>
      </c>
      <c r="D128" s="194" t="s">
        <v>343</v>
      </c>
      <c r="E128" s="194">
        <v>4</v>
      </c>
      <c r="F128" s="194" t="s">
        <v>57</v>
      </c>
      <c r="G128" s="194" t="s">
        <v>3077</v>
      </c>
      <c r="H128" s="195">
        <v>736</v>
      </c>
      <c r="I128" s="194" t="s">
        <v>391</v>
      </c>
      <c r="J128" s="194" t="s">
        <v>331</v>
      </c>
      <c r="K128" s="197"/>
      <c r="L128" s="197"/>
      <c r="M128" s="194" t="s">
        <v>2956</v>
      </c>
    </row>
    <row r="129" spans="1:13" ht="26.25">
      <c r="A129" s="194">
        <v>135</v>
      </c>
      <c r="B129" s="194" t="s">
        <v>3119</v>
      </c>
      <c r="C129" s="194" t="s">
        <v>2969</v>
      </c>
      <c r="D129" s="194" t="s">
        <v>343</v>
      </c>
      <c r="E129" s="194">
        <v>30</v>
      </c>
      <c r="F129" s="194" t="s">
        <v>33</v>
      </c>
      <c r="G129" s="194" t="s">
        <v>3077</v>
      </c>
      <c r="H129" s="195">
        <v>50</v>
      </c>
      <c r="I129" s="194" t="s">
        <v>391</v>
      </c>
      <c r="J129" s="194" t="s">
        <v>331</v>
      </c>
      <c r="K129" s="197"/>
      <c r="L129" s="197"/>
      <c r="M129" s="194" t="s">
        <v>2956</v>
      </c>
    </row>
    <row r="130" spans="1:13" ht="26.25">
      <c r="A130" s="194">
        <v>136</v>
      </c>
      <c r="B130" s="194" t="s">
        <v>3120</v>
      </c>
      <c r="C130" s="194" t="s">
        <v>2969</v>
      </c>
      <c r="D130" s="194" t="s">
        <v>343</v>
      </c>
      <c r="E130" s="194">
        <v>2</v>
      </c>
      <c r="F130" s="194" t="s">
        <v>3109</v>
      </c>
      <c r="G130" s="194" t="s">
        <v>3077</v>
      </c>
      <c r="H130" s="195">
        <v>109</v>
      </c>
      <c r="I130" s="194" t="s">
        <v>391</v>
      </c>
      <c r="J130" s="194" t="s">
        <v>331</v>
      </c>
      <c r="K130" s="197"/>
      <c r="L130" s="197"/>
      <c r="M130" s="194" t="s">
        <v>2956</v>
      </c>
    </row>
    <row r="131" spans="1:13" ht="26.25">
      <c r="A131" s="194">
        <v>137</v>
      </c>
      <c r="B131" s="194" t="s">
        <v>3121</v>
      </c>
      <c r="C131" s="194" t="s">
        <v>2969</v>
      </c>
      <c r="D131" s="194" t="s">
        <v>343</v>
      </c>
      <c r="E131" s="194">
        <v>20</v>
      </c>
      <c r="F131" s="194" t="s">
        <v>3109</v>
      </c>
      <c r="G131" s="194" t="s">
        <v>3077</v>
      </c>
      <c r="H131" s="195">
        <v>200</v>
      </c>
      <c r="I131" s="194" t="s">
        <v>391</v>
      </c>
      <c r="J131" s="194" t="s">
        <v>331</v>
      </c>
      <c r="K131" s="197"/>
      <c r="L131" s="197"/>
      <c r="M131" s="194" t="s">
        <v>2956</v>
      </c>
    </row>
    <row r="132" spans="1:13" ht="26.25">
      <c r="A132" s="194">
        <v>140</v>
      </c>
      <c r="B132" s="194" t="s">
        <v>3122</v>
      </c>
      <c r="C132" s="194" t="s">
        <v>2969</v>
      </c>
      <c r="D132" s="194" t="s">
        <v>343</v>
      </c>
      <c r="E132" s="194">
        <v>10</v>
      </c>
      <c r="F132" s="194" t="s">
        <v>33</v>
      </c>
      <c r="G132" s="194" t="s">
        <v>3077</v>
      </c>
      <c r="H132" s="195">
        <v>170</v>
      </c>
      <c r="I132" s="194" t="s">
        <v>391</v>
      </c>
      <c r="J132" s="194" t="s">
        <v>331</v>
      </c>
      <c r="K132" s="197"/>
      <c r="L132" s="197"/>
      <c r="M132" s="194" t="s">
        <v>2956</v>
      </c>
    </row>
    <row r="133" spans="1:13" ht="26.25">
      <c r="A133" s="194">
        <v>141</v>
      </c>
      <c r="B133" s="194" t="s">
        <v>3123</v>
      </c>
      <c r="C133" s="194" t="s">
        <v>2969</v>
      </c>
      <c r="D133" s="194" t="s">
        <v>2992</v>
      </c>
      <c r="E133" s="194">
        <v>3</v>
      </c>
      <c r="F133" s="194" t="s">
        <v>33</v>
      </c>
      <c r="G133" s="194" t="s">
        <v>3077</v>
      </c>
      <c r="H133" s="195">
        <v>210</v>
      </c>
      <c r="I133" s="194" t="s">
        <v>391</v>
      </c>
      <c r="J133" s="194" t="s">
        <v>331</v>
      </c>
      <c r="K133" s="197"/>
      <c r="L133" s="197"/>
      <c r="M133" s="194" t="s">
        <v>2956</v>
      </c>
    </row>
    <row r="134" spans="1:13" ht="26.25">
      <c r="A134" s="194">
        <v>142</v>
      </c>
      <c r="B134" s="194" t="s">
        <v>3124</v>
      </c>
      <c r="C134" s="194" t="s">
        <v>2969</v>
      </c>
      <c r="D134" s="194" t="s">
        <v>2992</v>
      </c>
      <c r="E134" s="194">
        <v>6</v>
      </c>
      <c r="F134" s="194" t="s">
        <v>33</v>
      </c>
      <c r="G134" s="194" t="s">
        <v>3077</v>
      </c>
      <c r="H134" s="195">
        <v>660</v>
      </c>
      <c r="I134" s="194" t="s">
        <v>391</v>
      </c>
      <c r="J134" s="194" t="s">
        <v>331</v>
      </c>
      <c r="K134" s="197"/>
      <c r="L134" s="197"/>
      <c r="M134" s="194" t="s">
        <v>2956</v>
      </c>
    </row>
    <row r="135" spans="1:13" ht="26.25">
      <c r="A135" s="194">
        <v>144</v>
      </c>
      <c r="B135" s="194" t="s">
        <v>3125</v>
      </c>
      <c r="C135" s="194" t="s">
        <v>2969</v>
      </c>
      <c r="D135" s="194" t="s">
        <v>2992</v>
      </c>
      <c r="E135" s="194">
        <v>5</v>
      </c>
      <c r="F135" s="194" t="s">
        <v>33</v>
      </c>
      <c r="G135" s="194" t="s">
        <v>3126</v>
      </c>
      <c r="H135" s="195">
        <v>380</v>
      </c>
      <c r="I135" s="194" t="s">
        <v>391</v>
      </c>
      <c r="J135" s="194" t="s">
        <v>2994</v>
      </c>
      <c r="K135" s="197"/>
      <c r="L135" s="197"/>
      <c r="M135" s="194" t="s">
        <v>2956</v>
      </c>
    </row>
    <row r="136" spans="1:13" ht="26.25">
      <c r="A136" s="194">
        <v>145</v>
      </c>
      <c r="B136" s="194" t="s">
        <v>3127</v>
      </c>
      <c r="C136" s="194" t="s">
        <v>2969</v>
      </c>
      <c r="D136" s="194" t="s">
        <v>2992</v>
      </c>
      <c r="E136" s="194">
        <v>10</v>
      </c>
      <c r="F136" s="194" t="s">
        <v>33</v>
      </c>
      <c r="G136" s="194" t="s">
        <v>3126</v>
      </c>
      <c r="H136" s="195">
        <v>78</v>
      </c>
      <c r="I136" s="194" t="s">
        <v>391</v>
      </c>
      <c r="J136" s="194" t="s">
        <v>2994</v>
      </c>
      <c r="K136" s="197"/>
      <c r="L136" s="197"/>
      <c r="M136" s="194" t="s">
        <v>2956</v>
      </c>
    </row>
    <row r="137" spans="1:13" ht="26.25">
      <c r="A137" s="194">
        <v>146</v>
      </c>
      <c r="B137" s="194" t="s">
        <v>3128</v>
      </c>
      <c r="C137" s="194" t="s">
        <v>2969</v>
      </c>
      <c r="D137" s="194" t="s">
        <v>2992</v>
      </c>
      <c r="E137" s="194">
        <v>2</v>
      </c>
      <c r="F137" s="194" t="s">
        <v>52</v>
      </c>
      <c r="G137" s="194" t="s">
        <v>3126</v>
      </c>
      <c r="H137" s="195">
        <v>60</v>
      </c>
      <c r="I137" s="194" t="s">
        <v>391</v>
      </c>
      <c r="J137" s="194" t="s">
        <v>2994</v>
      </c>
      <c r="K137" s="197"/>
      <c r="L137" s="197"/>
      <c r="M137" s="194" t="s">
        <v>2956</v>
      </c>
    </row>
    <row r="138" spans="1:13" ht="26.25">
      <c r="A138" s="194">
        <v>147</v>
      </c>
      <c r="B138" s="194" t="s">
        <v>3129</v>
      </c>
      <c r="C138" s="194" t="s">
        <v>2969</v>
      </c>
      <c r="D138" s="194" t="s">
        <v>2992</v>
      </c>
      <c r="E138" s="194">
        <v>1</v>
      </c>
      <c r="F138" s="194" t="s">
        <v>33</v>
      </c>
      <c r="G138" s="194" t="s">
        <v>3126</v>
      </c>
      <c r="H138" s="195">
        <v>120</v>
      </c>
      <c r="I138" s="194" t="s">
        <v>391</v>
      </c>
      <c r="J138" s="194" t="s">
        <v>2994</v>
      </c>
      <c r="K138" s="197"/>
      <c r="L138" s="197"/>
      <c r="M138" s="194" t="s">
        <v>2956</v>
      </c>
    </row>
    <row r="139" spans="1:13" ht="26.25">
      <c r="A139" s="194">
        <v>148</v>
      </c>
      <c r="B139" s="194" t="s">
        <v>3130</v>
      </c>
      <c r="C139" s="194" t="s">
        <v>2969</v>
      </c>
      <c r="D139" s="194" t="s">
        <v>2992</v>
      </c>
      <c r="E139" s="194">
        <v>3</v>
      </c>
      <c r="F139" s="194" t="s">
        <v>33</v>
      </c>
      <c r="G139" s="194" t="s">
        <v>3126</v>
      </c>
      <c r="H139" s="195">
        <v>90</v>
      </c>
      <c r="I139" s="194" t="s">
        <v>391</v>
      </c>
      <c r="J139" s="194" t="s">
        <v>2994</v>
      </c>
      <c r="K139" s="197"/>
      <c r="L139" s="197"/>
      <c r="M139" s="194" t="s">
        <v>2956</v>
      </c>
    </row>
    <row r="140" spans="1:13" ht="26.25">
      <c r="A140" s="194">
        <v>149</v>
      </c>
      <c r="B140" s="194" t="s">
        <v>3131</v>
      </c>
      <c r="C140" s="194" t="s">
        <v>2969</v>
      </c>
      <c r="D140" s="194" t="s">
        <v>2992</v>
      </c>
      <c r="E140" s="194">
        <v>20</v>
      </c>
      <c r="F140" s="194" t="s">
        <v>57</v>
      </c>
      <c r="G140" s="194" t="s">
        <v>3126</v>
      </c>
      <c r="H140" s="195">
        <v>600</v>
      </c>
      <c r="I140" s="194" t="s">
        <v>391</v>
      </c>
      <c r="J140" s="194" t="s">
        <v>2994</v>
      </c>
      <c r="K140" s="197"/>
      <c r="L140" s="197"/>
      <c r="M140" s="194" t="s">
        <v>2956</v>
      </c>
    </row>
    <row r="141" spans="1:13" ht="26.25">
      <c r="A141" s="194">
        <v>150</v>
      </c>
      <c r="B141" s="194" t="s">
        <v>3132</v>
      </c>
      <c r="C141" s="194" t="s">
        <v>2969</v>
      </c>
      <c r="D141" s="194" t="s">
        <v>2992</v>
      </c>
      <c r="E141" s="194">
        <v>8</v>
      </c>
      <c r="F141" s="194" t="s">
        <v>33</v>
      </c>
      <c r="G141" s="194" t="s">
        <v>3126</v>
      </c>
      <c r="H141" s="195">
        <v>240</v>
      </c>
      <c r="I141" s="194" t="s">
        <v>391</v>
      </c>
      <c r="J141" s="194" t="s">
        <v>2994</v>
      </c>
      <c r="K141" s="197"/>
      <c r="L141" s="197"/>
      <c r="M141" s="194" t="s">
        <v>2956</v>
      </c>
    </row>
    <row r="142" spans="1:13" ht="26.25">
      <c r="A142" s="194">
        <v>151</v>
      </c>
      <c r="B142" s="194" t="s">
        <v>3133</v>
      </c>
      <c r="C142" s="194" t="s">
        <v>2969</v>
      </c>
      <c r="D142" s="194" t="s">
        <v>2992</v>
      </c>
      <c r="E142" s="194">
        <v>3</v>
      </c>
      <c r="F142" s="194" t="s">
        <v>33</v>
      </c>
      <c r="G142" s="194" t="s">
        <v>3126</v>
      </c>
      <c r="H142" s="195">
        <v>120</v>
      </c>
      <c r="I142" s="194" t="s">
        <v>391</v>
      </c>
      <c r="J142" s="194" t="s">
        <v>2994</v>
      </c>
      <c r="K142" s="197"/>
      <c r="L142" s="197"/>
      <c r="M142" s="194" t="s">
        <v>2956</v>
      </c>
    </row>
    <row r="143" spans="1:13" ht="26.25">
      <c r="A143" s="194">
        <v>153</v>
      </c>
      <c r="B143" s="194" t="s">
        <v>3134</v>
      </c>
      <c r="C143" s="194" t="s">
        <v>2969</v>
      </c>
      <c r="D143" s="194" t="s">
        <v>2992</v>
      </c>
      <c r="E143" s="194">
        <v>1</v>
      </c>
      <c r="F143" s="194" t="s">
        <v>33</v>
      </c>
      <c r="G143" s="194" t="s">
        <v>3126</v>
      </c>
      <c r="H143" s="195">
        <v>900</v>
      </c>
      <c r="I143" s="194" t="s">
        <v>391</v>
      </c>
      <c r="J143" s="194" t="s">
        <v>2994</v>
      </c>
      <c r="K143" s="197"/>
      <c r="L143" s="197"/>
      <c r="M143" s="194" t="s">
        <v>2956</v>
      </c>
    </row>
    <row r="144" spans="1:13" ht="26.25">
      <c r="A144" s="194">
        <v>154</v>
      </c>
      <c r="B144" s="194" t="s">
        <v>3135</v>
      </c>
      <c r="C144" s="194" t="s">
        <v>2969</v>
      </c>
      <c r="D144" s="194" t="s">
        <v>2992</v>
      </c>
      <c r="E144" s="194">
        <v>1</v>
      </c>
      <c r="F144" s="194" t="s">
        <v>33</v>
      </c>
      <c r="G144" s="194" t="s">
        <v>3126</v>
      </c>
      <c r="H144" s="195">
        <v>1800</v>
      </c>
      <c r="I144" s="194" t="s">
        <v>391</v>
      </c>
      <c r="J144" s="194" t="s">
        <v>2994</v>
      </c>
      <c r="K144" s="197"/>
      <c r="L144" s="197"/>
      <c r="M144" s="194" t="s">
        <v>2956</v>
      </c>
    </row>
    <row r="145" spans="1:13" ht="26.25">
      <c r="A145" s="194">
        <v>155</v>
      </c>
      <c r="B145" s="194" t="s">
        <v>3136</v>
      </c>
      <c r="C145" s="194" t="s">
        <v>2969</v>
      </c>
      <c r="D145" s="194" t="s">
        <v>2992</v>
      </c>
      <c r="E145" s="194">
        <v>1</v>
      </c>
      <c r="F145" s="194" t="s">
        <v>33</v>
      </c>
      <c r="G145" s="194" t="s">
        <v>3126</v>
      </c>
      <c r="H145" s="195">
        <v>3000</v>
      </c>
      <c r="I145" s="194" t="s">
        <v>391</v>
      </c>
      <c r="J145" s="194" t="s">
        <v>2994</v>
      </c>
      <c r="K145" s="197"/>
      <c r="L145" s="197"/>
      <c r="M145" s="194" t="s">
        <v>2956</v>
      </c>
    </row>
    <row r="146" spans="1:13" ht="26.25">
      <c r="A146" s="194">
        <v>159</v>
      </c>
      <c r="B146" s="194" t="s">
        <v>3137</v>
      </c>
      <c r="C146" s="194" t="s">
        <v>2969</v>
      </c>
      <c r="D146" s="194" t="s">
        <v>2992</v>
      </c>
      <c r="E146" s="194">
        <v>3</v>
      </c>
      <c r="F146" s="194" t="s">
        <v>33</v>
      </c>
      <c r="G146" s="194" t="s">
        <v>3138</v>
      </c>
      <c r="H146" s="195">
        <v>1500</v>
      </c>
      <c r="I146" s="194" t="s">
        <v>391</v>
      </c>
      <c r="J146" s="194" t="s">
        <v>331</v>
      </c>
      <c r="K146" s="197"/>
      <c r="L146" s="197"/>
      <c r="M146" s="194" t="s">
        <v>2956</v>
      </c>
    </row>
    <row r="147" spans="1:13" ht="26.25">
      <c r="A147" s="194">
        <v>160</v>
      </c>
      <c r="B147" s="194" t="s">
        <v>3139</v>
      </c>
      <c r="C147" s="194" t="s">
        <v>2969</v>
      </c>
      <c r="D147" s="194" t="s">
        <v>2992</v>
      </c>
      <c r="E147" s="194">
        <v>56</v>
      </c>
      <c r="F147" s="194" t="s">
        <v>33</v>
      </c>
      <c r="G147" s="194" t="s">
        <v>3140</v>
      </c>
      <c r="H147" s="195">
        <v>5600</v>
      </c>
      <c r="I147" s="194" t="s">
        <v>391</v>
      </c>
      <c r="J147" s="194" t="s">
        <v>331</v>
      </c>
      <c r="K147" s="197"/>
      <c r="L147" s="197"/>
      <c r="M147" s="194" t="s">
        <v>2956</v>
      </c>
    </row>
    <row r="148" spans="1:13" ht="26.25">
      <c r="A148" s="194">
        <v>161</v>
      </c>
      <c r="B148" s="194" t="s">
        <v>3141</v>
      </c>
      <c r="C148" s="194" t="s">
        <v>2969</v>
      </c>
      <c r="D148" s="194" t="s">
        <v>2992</v>
      </c>
      <c r="E148" s="194">
        <v>1</v>
      </c>
      <c r="F148" s="194" t="s">
        <v>33</v>
      </c>
      <c r="G148" s="194" t="s">
        <v>3140</v>
      </c>
      <c r="H148" s="195">
        <v>2500</v>
      </c>
      <c r="I148" s="194" t="s">
        <v>391</v>
      </c>
      <c r="J148" s="194" t="s">
        <v>331</v>
      </c>
      <c r="K148" s="197"/>
      <c r="L148" s="197"/>
      <c r="M148" s="194" t="s">
        <v>2956</v>
      </c>
    </row>
    <row r="149" spans="1:13" ht="26.25">
      <c r="A149" s="194">
        <v>162</v>
      </c>
      <c r="B149" s="194" t="s">
        <v>3142</v>
      </c>
      <c r="C149" s="194" t="s">
        <v>2969</v>
      </c>
      <c r="D149" s="194" t="s">
        <v>2992</v>
      </c>
      <c r="E149" s="194">
        <v>40</v>
      </c>
      <c r="F149" s="194" t="s">
        <v>33</v>
      </c>
      <c r="G149" s="194" t="s">
        <v>3140</v>
      </c>
      <c r="H149" s="198"/>
      <c r="I149" s="194" t="s">
        <v>391</v>
      </c>
      <c r="J149" s="194" t="s">
        <v>331</v>
      </c>
      <c r="K149" s="197"/>
      <c r="L149" s="197"/>
      <c r="M149" s="194" t="s">
        <v>2956</v>
      </c>
    </row>
    <row r="150" spans="1:13" ht="26.25">
      <c r="A150" s="194">
        <v>163</v>
      </c>
      <c r="B150" s="194" t="s">
        <v>3143</v>
      </c>
      <c r="C150" s="194" t="s">
        <v>2969</v>
      </c>
      <c r="D150" s="194" t="s">
        <v>2992</v>
      </c>
      <c r="E150" s="194">
        <v>2</v>
      </c>
      <c r="F150" s="194" t="s">
        <v>33</v>
      </c>
      <c r="G150" s="194" t="s">
        <v>3140</v>
      </c>
      <c r="H150" s="195">
        <v>3590</v>
      </c>
      <c r="I150" s="194" t="s">
        <v>391</v>
      </c>
      <c r="J150" s="194" t="s">
        <v>331</v>
      </c>
      <c r="K150" s="197"/>
      <c r="L150" s="197"/>
      <c r="M150" s="194" t="s">
        <v>2956</v>
      </c>
    </row>
    <row r="151" spans="1:13" ht="26.25">
      <c r="A151" s="194">
        <v>164</v>
      </c>
      <c r="B151" s="194" t="s">
        <v>3144</v>
      </c>
      <c r="C151" s="194" t="s">
        <v>2969</v>
      </c>
      <c r="D151" s="194" t="s">
        <v>2992</v>
      </c>
      <c r="E151" s="194">
        <v>3</v>
      </c>
      <c r="F151" s="194" t="s">
        <v>33</v>
      </c>
      <c r="G151" s="194" t="s">
        <v>3140</v>
      </c>
      <c r="H151" s="195">
        <v>2100</v>
      </c>
      <c r="I151" s="194" t="s">
        <v>391</v>
      </c>
      <c r="J151" s="194" t="s">
        <v>331</v>
      </c>
      <c r="K151" s="197"/>
      <c r="L151" s="197"/>
      <c r="M151" s="194" t="s">
        <v>2956</v>
      </c>
    </row>
    <row r="152" spans="1:13" ht="26.25">
      <c r="A152" s="194">
        <v>166</v>
      </c>
      <c r="B152" s="194" t="s">
        <v>3145</v>
      </c>
      <c r="C152" s="194" t="s">
        <v>2969</v>
      </c>
      <c r="D152" s="194" t="s">
        <v>2992</v>
      </c>
      <c r="E152" s="194">
        <v>5</v>
      </c>
      <c r="F152" s="194" t="s">
        <v>33</v>
      </c>
      <c r="G152" s="194" t="s">
        <v>3140</v>
      </c>
      <c r="H152" s="195">
        <v>7500</v>
      </c>
      <c r="I152" s="194" t="s">
        <v>391</v>
      </c>
      <c r="J152" s="194" t="s">
        <v>331</v>
      </c>
      <c r="K152" s="197"/>
      <c r="L152" s="197"/>
      <c r="M152" s="194" t="s">
        <v>2956</v>
      </c>
    </row>
    <row r="153" spans="1:13" ht="26.25">
      <c r="A153" s="194">
        <v>167</v>
      </c>
      <c r="B153" s="194" t="s">
        <v>3146</v>
      </c>
      <c r="C153" s="194" t="s">
        <v>2969</v>
      </c>
      <c r="D153" s="194" t="s">
        <v>2992</v>
      </c>
      <c r="E153" s="194">
        <v>10</v>
      </c>
      <c r="F153" s="194" t="s">
        <v>33</v>
      </c>
      <c r="G153" s="194" t="s">
        <v>3140</v>
      </c>
      <c r="H153" s="195">
        <v>5000</v>
      </c>
      <c r="I153" s="194" t="s">
        <v>391</v>
      </c>
      <c r="J153" s="194" t="s">
        <v>331</v>
      </c>
      <c r="K153" s="197"/>
      <c r="L153" s="197"/>
      <c r="M153" s="194" t="s">
        <v>2956</v>
      </c>
    </row>
    <row r="154" spans="1:13" ht="26.25">
      <c r="A154" s="194">
        <v>168</v>
      </c>
      <c r="B154" s="194" t="s">
        <v>3147</v>
      </c>
      <c r="C154" s="194" t="s">
        <v>2969</v>
      </c>
      <c r="D154" s="194" t="s">
        <v>2992</v>
      </c>
      <c r="E154" s="194">
        <v>60</v>
      </c>
      <c r="F154" s="194" t="s">
        <v>33</v>
      </c>
      <c r="G154" s="194" t="s">
        <v>3140</v>
      </c>
      <c r="H154" s="195">
        <v>36000</v>
      </c>
      <c r="I154" s="194" t="s">
        <v>391</v>
      </c>
      <c r="J154" s="194" t="s">
        <v>331</v>
      </c>
      <c r="K154" s="197"/>
      <c r="L154" s="197"/>
      <c r="M154" s="194" t="s">
        <v>2956</v>
      </c>
    </row>
    <row r="155" spans="1:13" ht="26.25">
      <c r="A155" s="194">
        <v>169</v>
      </c>
      <c r="B155" s="194" t="s">
        <v>3148</v>
      </c>
      <c r="C155" s="194" t="s">
        <v>2969</v>
      </c>
      <c r="D155" s="194" t="s">
        <v>2992</v>
      </c>
      <c r="E155" s="194">
        <v>224</v>
      </c>
      <c r="F155" s="194" t="s">
        <v>33</v>
      </c>
      <c r="G155" s="194" t="s">
        <v>3140</v>
      </c>
      <c r="H155" s="195">
        <v>17920</v>
      </c>
      <c r="I155" s="194" t="s">
        <v>391</v>
      </c>
      <c r="J155" s="194" t="s">
        <v>331</v>
      </c>
      <c r="K155" s="197"/>
      <c r="L155" s="197"/>
      <c r="M155" s="194" t="s">
        <v>2956</v>
      </c>
    </row>
    <row r="156" spans="1:13" ht="26.25">
      <c r="A156" s="194">
        <v>170</v>
      </c>
      <c r="B156" s="194" t="s">
        <v>3149</v>
      </c>
      <c r="C156" s="194" t="s">
        <v>2969</v>
      </c>
      <c r="D156" s="194" t="s">
        <v>2992</v>
      </c>
      <c r="E156" s="194">
        <v>50</v>
      </c>
      <c r="F156" s="194" t="s">
        <v>33</v>
      </c>
      <c r="G156" s="194" t="s">
        <v>3140</v>
      </c>
      <c r="H156" s="195">
        <v>25000</v>
      </c>
      <c r="I156" s="194" t="s">
        <v>391</v>
      </c>
      <c r="J156" s="194" t="s">
        <v>331</v>
      </c>
      <c r="K156" s="197"/>
      <c r="L156" s="197"/>
      <c r="M156" s="194" t="s">
        <v>2956</v>
      </c>
    </row>
    <row r="157" spans="1:13" ht="26.25">
      <c r="A157" s="194">
        <v>171</v>
      </c>
      <c r="B157" s="194" t="s">
        <v>3150</v>
      </c>
      <c r="C157" s="194" t="s">
        <v>2969</v>
      </c>
      <c r="D157" s="194" t="s">
        <v>2992</v>
      </c>
      <c r="E157" s="194">
        <v>12</v>
      </c>
      <c r="F157" s="194" t="s">
        <v>33</v>
      </c>
      <c r="G157" s="194" t="s">
        <v>3140</v>
      </c>
      <c r="H157" s="195">
        <v>30000</v>
      </c>
      <c r="I157" s="194" t="s">
        <v>391</v>
      </c>
      <c r="J157" s="194" t="s">
        <v>331</v>
      </c>
      <c r="K157" s="197"/>
      <c r="L157" s="197"/>
      <c r="M157" s="194" t="s">
        <v>2956</v>
      </c>
    </row>
    <row r="158" spans="1:13" ht="26.25">
      <c r="A158" s="194">
        <v>172</v>
      </c>
      <c r="B158" s="194" t="s">
        <v>3151</v>
      </c>
      <c r="C158" s="194" t="s">
        <v>2969</v>
      </c>
      <c r="D158" s="194" t="s">
        <v>2992</v>
      </c>
      <c r="E158" s="194">
        <v>4</v>
      </c>
      <c r="F158" s="194" t="s">
        <v>33</v>
      </c>
      <c r="G158" s="194" t="s">
        <v>3140</v>
      </c>
      <c r="H158" s="195">
        <v>1900</v>
      </c>
      <c r="I158" s="194" t="s">
        <v>391</v>
      </c>
      <c r="J158" s="194" t="s">
        <v>331</v>
      </c>
      <c r="K158" s="197"/>
      <c r="L158" s="197"/>
      <c r="M158" s="194" t="s">
        <v>2956</v>
      </c>
    </row>
    <row r="159" spans="1:13" ht="26.25">
      <c r="A159" s="194">
        <v>173</v>
      </c>
      <c r="B159" s="194" t="s">
        <v>3152</v>
      </c>
      <c r="C159" s="194" t="s">
        <v>2969</v>
      </c>
      <c r="D159" s="194" t="s">
        <v>2992</v>
      </c>
      <c r="E159" s="194">
        <v>5</v>
      </c>
      <c r="F159" s="194" t="s">
        <v>33</v>
      </c>
      <c r="G159" s="194" t="s">
        <v>3140</v>
      </c>
      <c r="H159" s="195">
        <v>1250</v>
      </c>
      <c r="I159" s="194" t="s">
        <v>391</v>
      </c>
      <c r="J159" s="194" t="s">
        <v>331</v>
      </c>
      <c r="K159" s="197"/>
      <c r="L159" s="197"/>
      <c r="M159" s="194" t="s">
        <v>2956</v>
      </c>
    </row>
    <row r="160" spans="1:13" ht="26.25">
      <c r="A160" s="194">
        <v>174</v>
      </c>
      <c r="B160" s="194" t="s">
        <v>3153</v>
      </c>
      <c r="C160" s="194" t="s">
        <v>2969</v>
      </c>
      <c r="D160" s="194" t="s">
        <v>2992</v>
      </c>
      <c r="E160" s="194">
        <v>5</v>
      </c>
      <c r="F160" s="194" t="s">
        <v>33</v>
      </c>
      <c r="G160" s="194" t="s">
        <v>3140</v>
      </c>
      <c r="H160" s="195">
        <v>2895</v>
      </c>
      <c r="I160" s="194" t="s">
        <v>391</v>
      </c>
      <c r="J160" s="194" t="s">
        <v>331</v>
      </c>
      <c r="K160" s="197"/>
      <c r="L160" s="197"/>
      <c r="M160" s="194" t="s">
        <v>2956</v>
      </c>
    </row>
    <row r="161" spans="1:13" ht="26.25">
      <c r="A161" s="194">
        <v>176</v>
      </c>
      <c r="B161" s="194" t="s">
        <v>3154</v>
      </c>
      <c r="C161" s="194" t="s">
        <v>2969</v>
      </c>
      <c r="D161" s="194" t="s">
        <v>2992</v>
      </c>
      <c r="E161" s="194">
        <v>4</v>
      </c>
      <c r="F161" s="194" t="s">
        <v>33</v>
      </c>
      <c r="G161" s="194" t="s">
        <v>3140</v>
      </c>
      <c r="H161" s="198"/>
      <c r="I161" s="194" t="s">
        <v>391</v>
      </c>
      <c r="J161" s="194" t="s">
        <v>331</v>
      </c>
      <c r="K161" s="197"/>
      <c r="L161" s="197"/>
      <c r="M161" s="194" t="s">
        <v>2956</v>
      </c>
    </row>
    <row r="162" spans="1:13" ht="26.25">
      <c r="A162" s="194">
        <v>177</v>
      </c>
      <c r="B162" s="194" t="s">
        <v>3155</v>
      </c>
      <c r="C162" s="194" t="s">
        <v>2969</v>
      </c>
      <c r="D162" s="194" t="s">
        <v>2992</v>
      </c>
      <c r="E162" s="194">
        <v>5</v>
      </c>
      <c r="F162" s="194" t="s">
        <v>33</v>
      </c>
      <c r="G162" s="194" t="s">
        <v>3011</v>
      </c>
      <c r="H162" s="195">
        <v>1500</v>
      </c>
      <c r="I162" s="194" t="s">
        <v>391</v>
      </c>
      <c r="J162" s="194" t="s">
        <v>331</v>
      </c>
      <c r="K162" s="197"/>
      <c r="L162" s="197"/>
      <c r="M162" s="194" t="s">
        <v>2956</v>
      </c>
    </row>
    <row r="163" spans="1:13" ht="26.25">
      <c r="A163" s="194">
        <v>179</v>
      </c>
      <c r="B163" s="194" t="s">
        <v>3156</v>
      </c>
      <c r="C163" s="194" t="s">
        <v>2969</v>
      </c>
      <c r="D163" s="194" t="s">
        <v>2992</v>
      </c>
      <c r="E163" s="194">
        <v>1</v>
      </c>
      <c r="F163" s="194" t="s">
        <v>33</v>
      </c>
      <c r="G163" s="194" t="s">
        <v>3011</v>
      </c>
      <c r="H163" s="195">
        <v>746</v>
      </c>
      <c r="I163" s="194" t="s">
        <v>391</v>
      </c>
      <c r="J163" s="194" t="s">
        <v>331</v>
      </c>
      <c r="K163" s="197"/>
      <c r="L163" s="197"/>
      <c r="M163" s="194" t="s">
        <v>2956</v>
      </c>
    </row>
    <row r="164" spans="1:13" ht="26.25">
      <c r="A164" s="194">
        <v>181</v>
      </c>
      <c r="B164" s="194" t="s">
        <v>3157</v>
      </c>
      <c r="C164" s="194" t="s">
        <v>2969</v>
      </c>
      <c r="D164" s="194" t="s">
        <v>343</v>
      </c>
      <c r="E164" s="194">
        <v>30</v>
      </c>
      <c r="F164" s="194" t="s">
        <v>33</v>
      </c>
      <c r="G164" s="194" t="s">
        <v>3158</v>
      </c>
      <c r="H164" s="195">
        <v>300</v>
      </c>
      <c r="I164" s="194" t="s">
        <v>391</v>
      </c>
      <c r="J164" s="194" t="s">
        <v>331</v>
      </c>
      <c r="K164" s="197"/>
      <c r="L164" s="197"/>
      <c r="M164" s="194" t="s">
        <v>2956</v>
      </c>
    </row>
    <row r="165" spans="1:13" ht="26.25">
      <c r="A165" s="194">
        <v>182</v>
      </c>
      <c r="B165" s="194" t="s">
        <v>3159</v>
      </c>
      <c r="C165" s="194" t="s">
        <v>2969</v>
      </c>
      <c r="D165" s="194" t="s">
        <v>2992</v>
      </c>
      <c r="E165" s="194">
        <v>5</v>
      </c>
      <c r="F165" s="194" t="s">
        <v>33</v>
      </c>
      <c r="G165" s="194" t="s">
        <v>3158</v>
      </c>
      <c r="H165" s="195">
        <v>215</v>
      </c>
      <c r="I165" s="194" t="s">
        <v>391</v>
      </c>
      <c r="J165" s="194" t="s">
        <v>331</v>
      </c>
      <c r="K165" s="197"/>
      <c r="L165" s="197"/>
      <c r="M165" s="194" t="s">
        <v>2956</v>
      </c>
    </row>
    <row r="166" spans="1:13" ht="26.25">
      <c r="A166" s="194">
        <v>183</v>
      </c>
      <c r="B166" s="194" t="s">
        <v>3160</v>
      </c>
      <c r="C166" s="194" t="s">
        <v>2969</v>
      </c>
      <c r="D166" s="194" t="s">
        <v>2992</v>
      </c>
      <c r="E166" s="194">
        <v>20</v>
      </c>
      <c r="F166" s="194" t="s">
        <v>33</v>
      </c>
      <c r="G166" s="194" t="s">
        <v>3158</v>
      </c>
      <c r="H166" s="195">
        <v>600</v>
      </c>
      <c r="I166" s="194" t="s">
        <v>391</v>
      </c>
      <c r="J166" s="194" t="s">
        <v>331</v>
      </c>
      <c r="K166" s="197"/>
      <c r="L166" s="197"/>
      <c r="M166" s="194" t="s">
        <v>2956</v>
      </c>
    </row>
    <row r="167" spans="1:13" ht="39">
      <c r="A167" s="194">
        <v>184</v>
      </c>
      <c r="B167" s="194" t="s">
        <v>3161</v>
      </c>
      <c r="C167" s="194" t="s">
        <v>2969</v>
      </c>
      <c r="D167" s="194" t="s">
        <v>343</v>
      </c>
      <c r="E167" s="194">
        <v>30</v>
      </c>
      <c r="F167" s="194" t="s">
        <v>3097</v>
      </c>
      <c r="G167" s="194" t="s">
        <v>3158</v>
      </c>
      <c r="H167" s="195">
        <v>300</v>
      </c>
      <c r="I167" s="194" t="s">
        <v>391</v>
      </c>
      <c r="J167" s="194" t="s">
        <v>331</v>
      </c>
      <c r="K167" s="197"/>
      <c r="L167" s="197"/>
      <c r="M167" s="194" t="s">
        <v>2956</v>
      </c>
    </row>
    <row r="168" spans="1:13" ht="26.25">
      <c r="A168" s="194">
        <v>185</v>
      </c>
      <c r="B168" s="194" t="s">
        <v>3162</v>
      </c>
      <c r="C168" s="194" t="s">
        <v>2969</v>
      </c>
      <c r="D168" s="194" t="s">
        <v>2992</v>
      </c>
      <c r="E168" s="194">
        <v>2</v>
      </c>
      <c r="F168" s="194" t="s">
        <v>33</v>
      </c>
      <c r="G168" s="194" t="s">
        <v>3011</v>
      </c>
      <c r="H168" s="195">
        <v>300</v>
      </c>
      <c r="I168" s="194" t="s">
        <v>391</v>
      </c>
      <c r="J168" s="194" t="s">
        <v>331</v>
      </c>
      <c r="K168" s="197"/>
      <c r="L168" s="197"/>
      <c r="M168" s="194" t="s">
        <v>2956</v>
      </c>
    </row>
    <row r="169" spans="1:13" ht="51.75">
      <c r="A169" s="194">
        <v>186</v>
      </c>
      <c r="B169" s="194" t="s">
        <v>3163</v>
      </c>
      <c r="C169" s="194" t="s">
        <v>2969</v>
      </c>
      <c r="D169" s="194" t="s">
        <v>2992</v>
      </c>
      <c r="E169" s="194">
        <v>10</v>
      </c>
      <c r="F169" s="194" t="s">
        <v>928</v>
      </c>
      <c r="G169" s="194" t="s">
        <v>3164</v>
      </c>
      <c r="H169" s="195">
        <v>600</v>
      </c>
      <c r="I169" s="194" t="s">
        <v>391</v>
      </c>
      <c r="J169" s="194" t="s">
        <v>331</v>
      </c>
      <c r="K169" s="197"/>
      <c r="L169" s="197"/>
      <c r="M169" s="194" t="s">
        <v>2956</v>
      </c>
    </row>
    <row r="170" spans="1:13" ht="51.75">
      <c r="A170" s="194">
        <v>187</v>
      </c>
      <c r="B170" s="194" t="s">
        <v>3165</v>
      </c>
      <c r="C170" s="194" t="s">
        <v>2969</v>
      </c>
      <c r="D170" s="194" t="s">
        <v>2992</v>
      </c>
      <c r="E170" s="194">
        <v>30</v>
      </c>
      <c r="F170" s="194" t="s">
        <v>33</v>
      </c>
      <c r="G170" s="194" t="s">
        <v>3164</v>
      </c>
      <c r="H170" s="195">
        <v>120</v>
      </c>
      <c r="I170" s="194" t="s">
        <v>391</v>
      </c>
      <c r="J170" s="194" t="s">
        <v>331</v>
      </c>
      <c r="K170" s="197"/>
      <c r="L170" s="197"/>
      <c r="M170" s="194" t="s">
        <v>2956</v>
      </c>
    </row>
    <row r="171" spans="1:13" ht="51.75">
      <c r="A171" s="194">
        <v>188</v>
      </c>
      <c r="B171" s="194" t="s">
        <v>3166</v>
      </c>
      <c r="C171" s="194" t="s">
        <v>2969</v>
      </c>
      <c r="D171" s="194" t="s">
        <v>343</v>
      </c>
      <c r="E171" s="194">
        <v>120</v>
      </c>
      <c r="F171" s="194" t="s">
        <v>33</v>
      </c>
      <c r="G171" s="194" t="s">
        <v>3164</v>
      </c>
      <c r="H171" s="195">
        <v>159</v>
      </c>
      <c r="I171" s="194" t="s">
        <v>391</v>
      </c>
      <c r="J171" s="194" t="s">
        <v>331</v>
      </c>
      <c r="K171" s="197"/>
      <c r="L171" s="197"/>
      <c r="M171" s="194" t="s">
        <v>2956</v>
      </c>
    </row>
    <row r="172" spans="1:13" ht="39">
      <c r="A172" s="194">
        <v>189</v>
      </c>
      <c r="B172" s="194" t="s">
        <v>3167</v>
      </c>
      <c r="C172" s="194" t="s">
        <v>2969</v>
      </c>
      <c r="D172" s="194" t="s">
        <v>343</v>
      </c>
      <c r="E172" s="194">
        <v>50</v>
      </c>
      <c r="F172" s="194" t="s">
        <v>33</v>
      </c>
      <c r="G172" s="194" t="s">
        <v>3168</v>
      </c>
      <c r="H172" s="195">
        <v>1000</v>
      </c>
      <c r="I172" s="194" t="s">
        <v>391</v>
      </c>
      <c r="J172" s="194" t="s">
        <v>331</v>
      </c>
      <c r="K172" s="197"/>
      <c r="L172" s="197"/>
      <c r="M172" s="194" t="s">
        <v>2956</v>
      </c>
    </row>
    <row r="173" spans="1:13" ht="26.25">
      <c r="A173" s="194">
        <v>191</v>
      </c>
      <c r="B173" s="194" t="s">
        <v>3169</v>
      </c>
      <c r="C173" s="194" t="s">
        <v>2969</v>
      </c>
      <c r="D173" s="194" t="s">
        <v>2992</v>
      </c>
      <c r="E173" s="194">
        <v>2</v>
      </c>
      <c r="F173" s="194" t="s">
        <v>33</v>
      </c>
      <c r="G173" s="194" t="s">
        <v>3170</v>
      </c>
      <c r="H173" s="195">
        <v>300</v>
      </c>
      <c r="I173" s="194" t="s">
        <v>391</v>
      </c>
      <c r="J173" s="194" t="s">
        <v>2994</v>
      </c>
      <c r="K173" s="197"/>
      <c r="L173" s="197"/>
      <c r="M173" s="194" t="s">
        <v>2956</v>
      </c>
    </row>
    <row r="174" spans="1:13" ht="26.25">
      <c r="A174" s="194">
        <v>192</v>
      </c>
      <c r="B174" s="194" t="s">
        <v>3171</v>
      </c>
      <c r="C174" s="194" t="s">
        <v>2969</v>
      </c>
      <c r="D174" s="194" t="s">
        <v>2992</v>
      </c>
      <c r="E174" s="194">
        <v>3</v>
      </c>
      <c r="F174" s="194" t="s">
        <v>33</v>
      </c>
      <c r="G174" s="194" t="s">
        <v>3170</v>
      </c>
      <c r="H174" s="195">
        <v>531</v>
      </c>
      <c r="I174" s="194" t="s">
        <v>391</v>
      </c>
      <c r="J174" s="194" t="s">
        <v>2994</v>
      </c>
      <c r="K174" s="197"/>
      <c r="L174" s="197"/>
      <c r="M174" s="194" t="s">
        <v>2956</v>
      </c>
    </row>
    <row r="175" spans="1:13" ht="26.25">
      <c r="A175" s="194">
        <v>193</v>
      </c>
      <c r="B175" s="194" t="s">
        <v>3172</v>
      </c>
      <c r="C175" s="194" t="s">
        <v>2969</v>
      </c>
      <c r="D175" s="194" t="s">
        <v>2992</v>
      </c>
      <c r="E175" s="194">
        <v>2</v>
      </c>
      <c r="F175" s="194" t="s">
        <v>33</v>
      </c>
      <c r="G175" s="194" t="s">
        <v>3170</v>
      </c>
      <c r="H175" s="195">
        <v>400</v>
      </c>
      <c r="I175" s="194" t="s">
        <v>391</v>
      </c>
      <c r="J175" s="194" t="s">
        <v>2994</v>
      </c>
      <c r="K175" s="197"/>
      <c r="L175" s="197"/>
      <c r="M175" s="194" t="s">
        <v>2956</v>
      </c>
    </row>
    <row r="176" spans="1:13" ht="26.25">
      <c r="A176" s="194">
        <v>194</v>
      </c>
      <c r="B176" s="194" t="s">
        <v>3173</v>
      </c>
      <c r="C176" s="194" t="s">
        <v>2969</v>
      </c>
      <c r="D176" s="194" t="s">
        <v>2992</v>
      </c>
      <c r="E176" s="194">
        <v>30</v>
      </c>
      <c r="F176" s="194" t="s">
        <v>33</v>
      </c>
      <c r="G176" s="194" t="s">
        <v>3170</v>
      </c>
      <c r="H176" s="195">
        <v>180</v>
      </c>
      <c r="I176" s="194" t="s">
        <v>391</v>
      </c>
      <c r="J176" s="194" t="s">
        <v>2994</v>
      </c>
      <c r="K176" s="197"/>
      <c r="L176" s="197"/>
      <c r="M176" s="194" t="s">
        <v>2956</v>
      </c>
    </row>
    <row r="177" spans="1:13" ht="26.25">
      <c r="A177" s="194">
        <v>195</v>
      </c>
      <c r="B177" s="194" t="s">
        <v>3174</v>
      </c>
      <c r="C177" s="194" t="s">
        <v>2969</v>
      </c>
      <c r="D177" s="194" t="s">
        <v>2992</v>
      </c>
      <c r="E177" s="194">
        <v>10</v>
      </c>
      <c r="F177" s="194" t="s">
        <v>33</v>
      </c>
      <c r="G177" s="194" t="s">
        <v>3170</v>
      </c>
      <c r="H177" s="195">
        <v>200</v>
      </c>
      <c r="I177" s="194" t="s">
        <v>391</v>
      </c>
      <c r="J177" s="194" t="s">
        <v>2994</v>
      </c>
      <c r="K177" s="197"/>
      <c r="L177" s="197"/>
      <c r="M177" s="194" t="s">
        <v>2956</v>
      </c>
    </row>
    <row r="178" spans="1:13" ht="26.25">
      <c r="A178" s="194">
        <v>197</v>
      </c>
      <c r="B178" s="194" t="s">
        <v>3175</v>
      </c>
      <c r="C178" s="194" t="s">
        <v>2969</v>
      </c>
      <c r="D178" s="194" t="s">
        <v>2992</v>
      </c>
      <c r="E178" s="194">
        <v>6</v>
      </c>
      <c r="F178" s="194" t="s">
        <v>33</v>
      </c>
      <c r="G178" s="194" t="s">
        <v>3176</v>
      </c>
      <c r="H178" s="195">
        <v>240</v>
      </c>
      <c r="I178" s="194" t="s">
        <v>391</v>
      </c>
      <c r="J178" s="194" t="s">
        <v>2994</v>
      </c>
      <c r="K178" s="197"/>
      <c r="L178" s="197"/>
      <c r="M178" s="194" t="s">
        <v>2956</v>
      </c>
    </row>
    <row r="179" spans="1:13" ht="26.25">
      <c r="A179" s="194">
        <v>198</v>
      </c>
      <c r="B179" s="194" t="s">
        <v>3177</v>
      </c>
      <c r="C179" s="194" t="s">
        <v>2969</v>
      </c>
      <c r="D179" s="194" t="s">
        <v>343</v>
      </c>
      <c r="E179" s="194">
        <v>216000</v>
      </c>
      <c r="F179" s="194" t="s">
        <v>33</v>
      </c>
      <c r="G179" s="194" t="s">
        <v>3077</v>
      </c>
      <c r="H179" s="195">
        <v>64800</v>
      </c>
      <c r="I179" s="194" t="s">
        <v>758</v>
      </c>
      <c r="J179" s="194" t="s">
        <v>331</v>
      </c>
      <c r="K179" s="197"/>
      <c r="L179" s="197"/>
      <c r="M179" s="194" t="s">
        <v>2956</v>
      </c>
    </row>
    <row r="180" spans="1:13" ht="26.25">
      <c r="A180" s="194">
        <v>199</v>
      </c>
      <c r="B180" s="194" t="s">
        <v>3178</v>
      </c>
      <c r="C180" s="194" t="s">
        <v>2969</v>
      </c>
      <c r="D180" s="194" t="s">
        <v>2992</v>
      </c>
      <c r="E180" s="194">
        <v>30</v>
      </c>
      <c r="F180" s="194" t="s">
        <v>33</v>
      </c>
      <c r="G180" s="194" t="s">
        <v>3179</v>
      </c>
      <c r="H180" s="195">
        <v>900</v>
      </c>
      <c r="I180" s="194" t="s">
        <v>391</v>
      </c>
      <c r="J180" s="194" t="s">
        <v>2994</v>
      </c>
      <c r="K180" s="197"/>
      <c r="L180" s="197"/>
      <c r="M180" s="194" t="s">
        <v>2956</v>
      </c>
    </row>
    <row r="181" spans="1:13" ht="26.25">
      <c r="A181" s="194">
        <v>200</v>
      </c>
      <c r="B181" s="194" t="s">
        <v>3180</v>
      </c>
      <c r="C181" s="194" t="s">
        <v>2969</v>
      </c>
      <c r="D181" s="194" t="s">
        <v>2992</v>
      </c>
      <c r="E181" s="194">
        <v>30</v>
      </c>
      <c r="F181" s="194" t="s">
        <v>33</v>
      </c>
      <c r="G181" s="194" t="s">
        <v>3179</v>
      </c>
      <c r="H181" s="195">
        <v>1500</v>
      </c>
      <c r="I181" s="194" t="s">
        <v>391</v>
      </c>
      <c r="J181" s="194" t="s">
        <v>2994</v>
      </c>
      <c r="K181" s="197"/>
      <c r="L181" s="197"/>
      <c r="M181" s="194" t="s">
        <v>2956</v>
      </c>
    </row>
    <row r="182" spans="1:13" ht="26.25">
      <c r="A182" s="194">
        <v>201</v>
      </c>
      <c r="B182" s="194" t="s">
        <v>3181</v>
      </c>
      <c r="C182" s="194" t="s">
        <v>2969</v>
      </c>
      <c r="D182" s="194" t="s">
        <v>2992</v>
      </c>
      <c r="E182" s="194">
        <v>10</v>
      </c>
      <c r="F182" s="194" t="s">
        <v>928</v>
      </c>
      <c r="G182" s="194" t="s">
        <v>3179</v>
      </c>
      <c r="H182" s="195">
        <v>1300</v>
      </c>
      <c r="I182" s="194" t="s">
        <v>391</v>
      </c>
      <c r="J182" s="194" t="s">
        <v>2994</v>
      </c>
      <c r="K182" s="197"/>
      <c r="L182" s="197"/>
      <c r="M182" s="194" t="s">
        <v>2956</v>
      </c>
    </row>
    <row r="183" spans="1:13" ht="26.25">
      <c r="A183" s="194">
        <v>202</v>
      </c>
      <c r="B183" s="194" t="s">
        <v>3182</v>
      </c>
      <c r="C183" s="194" t="s">
        <v>2969</v>
      </c>
      <c r="D183" s="194" t="s">
        <v>2992</v>
      </c>
      <c r="E183" s="194">
        <v>30</v>
      </c>
      <c r="F183" s="194" t="s">
        <v>33</v>
      </c>
      <c r="G183" s="194" t="s">
        <v>3179</v>
      </c>
      <c r="H183" s="195">
        <v>750</v>
      </c>
      <c r="I183" s="194" t="s">
        <v>391</v>
      </c>
      <c r="J183" s="194" t="s">
        <v>2994</v>
      </c>
      <c r="K183" s="197"/>
      <c r="L183" s="197"/>
      <c r="M183" s="194" t="s">
        <v>2956</v>
      </c>
    </row>
    <row r="184" spans="1:13" ht="26.25">
      <c r="A184" s="194">
        <v>203</v>
      </c>
      <c r="B184" s="194" t="s">
        <v>3183</v>
      </c>
      <c r="C184" s="194" t="s">
        <v>2969</v>
      </c>
      <c r="D184" s="194" t="s">
        <v>2992</v>
      </c>
      <c r="E184" s="194">
        <v>3</v>
      </c>
      <c r="F184" s="194" t="s">
        <v>33</v>
      </c>
      <c r="G184" s="194" t="s">
        <v>3179</v>
      </c>
      <c r="H184" s="195">
        <v>150</v>
      </c>
      <c r="I184" s="194" t="s">
        <v>391</v>
      </c>
      <c r="J184" s="194" t="s">
        <v>2994</v>
      </c>
      <c r="K184" s="197"/>
      <c r="L184" s="197"/>
      <c r="M184" s="194" t="s">
        <v>2956</v>
      </c>
    </row>
    <row r="185" spans="1:13" ht="26.25">
      <c r="A185" s="194">
        <v>204</v>
      </c>
      <c r="B185" s="194" t="s">
        <v>3184</v>
      </c>
      <c r="C185" s="194" t="s">
        <v>2969</v>
      </c>
      <c r="D185" s="194" t="s">
        <v>2992</v>
      </c>
      <c r="E185" s="194">
        <v>10</v>
      </c>
      <c r="F185" s="194" t="s">
        <v>33</v>
      </c>
      <c r="G185" s="194" t="s">
        <v>3179</v>
      </c>
      <c r="H185" s="195">
        <v>150</v>
      </c>
      <c r="I185" s="194" t="s">
        <v>391</v>
      </c>
      <c r="J185" s="194" t="s">
        <v>2994</v>
      </c>
      <c r="K185" s="197"/>
      <c r="L185" s="197"/>
      <c r="M185" s="194" t="s">
        <v>2956</v>
      </c>
    </row>
    <row r="186" spans="1:13" ht="26.25">
      <c r="A186" s="194">
        <v>205</v>
      </c>
      <c r="B186" s="194" t="s">
        <v>3185</v>
      </c>
      <c r="C186" s="194" t="s">
        <v>2969</v>
      </c>
      <c r="D186" s="194" t="s">
        <v>2992</v>
      </c>
      <c r="E186" s="194">
        <v>10</v>
      </c>
      <c r="F186" s="194" t="s">
        <v>33</v>
      </c>
      <c r="G186" s="194" t="s">
        <v>3179</v>
      </c>
      <c r="H186" s="195">
        <v>150</v>
      </c>
      <c r="I186" s="194" t="s">
        <v>391</v>
      </c>
      <c r="J186" s="194" t="s">
        <v>2994</v>
      </c>
      <c r="K186" s="197"/>
      <c r="L186" s="197"/>
      <c r="M186" s="194" t="s">
        <v>2956</v>
      </c>
    </row>
    <row r="187" spans="1:13" ht="26.25">
      <c r="A187" s="194">
        <v>206</v>
      </c>
      <c r="B187" s="194" t="s">
        <v>3186</v>
      </c>
      <c r="C187" s="194" t="s">
        <v>2969</v>
      </c>
      <c r="D187" s="194" t="s">
        <v>2992</v>
      </c>
      <c r="E187" s="194">
        <v>30</v>
      </c>
      <c r="F187" s="194" t="s">
        <v>33</v>
      </c>
      <c r="G187" s="194" t="s">
        <v>3179</v>
      </c>
      <c r="H187" s="195">
        <v>1347</v>
      </c>
      <c r="I187" s="194" t="s">
        <v>391</v>
      </c>
      <c r="J187" s="194" t="s">
        <v>2994</v>
      </c>
      <c r="K187" s="197"/>
      <c r="L187" s="197"/>
      <c r="M187" s="194" t="s">
        <v>2956</v>
      </c>
    </row>
    <row r="188" spans="1:13" ht="26.25">
      <c r="A188" s="194">
        <v>207</v>
      </c>
      <c r="B188" s="194" t="s">
        <v>3187</v>
      </c>
      <c r="C188" s="194" t="s">
        <v>2969</v>
      </c>
      <c r="D188" s="194" t="s">
        <v>2992</v>
      </c>
      <c r="E188" s="194">
        <v>10</v>
      </c>
      <c r="F188" s="194" t="s">
        <v>3188</v>
      </c>
      <c r="G188" s="194" t="s">
        <v>3179</v>
      </c>
      <c r="H188" s="195">
        <v>400</v>
      </c>
      <c r="I188" s="194" t="s">
        <v>391</v>
      </c>
      <c r="J188" s="194" t="s">
        <v>2994</v>
      </c>
      <c r="K188" s="197"/>
      <c r="L188" s="197"/>
      <c r="M188" s="194" t="s">
        <v>2956</v>
      </c>
    </row>
    <row r="189" spans="1:13" ht="26.25">
      <c r="A189" s="194">
        <v>208</v>
      </c>
      <c r="B189" s="194" t="s">
        <v>3189</v>
      </c>
      <c r="C189" s="194" t="s">
        <v>2969</v>
      </c>
      <c r="D189" s="194" t="s">
        <v>2992</v>
      </c>
      <c r="E189" s="194">
        <v>5</v>
      </c>
      <c r="F189" s="194" t="s">
        <v>3188</v>
      </c>
      <c r="G189" s="194" t="s">
        <v>3179</v>
      </c>
      <c r="H189" s="195">
        <v>200</v>
      </c>
      <c r="I189" s="194" t="s">
        <v>391</v>
      </c>
      <c r="J189" s="194" t="s">
        <v>2994</v>
      </c>
      <c r="K189" s="197"/>
      <c r="L189" s="197"/>
      <c r="M189" s="194" t="s">
        <v>2956</v>
      </c>
    </row>
    <row r="190" spans="1:13" ht="26.25">
      <c r="A190" s="194">
        <v>209</v>
      </c>
      <c r="B190" s="194" t="s">
        <v>3190</v>
      </c>
      <c r="C190" s="194" t="s">
        <v>2969</v>
      </c>
      <c r="D190" s="194" t="s">
        <v>2992</v>
      </c>
      <c r="E190" s="194">
        <v>3</v>
      </c>
      <c r="F190" s="194" t="s">
        <v>3188</v>
      </c>
      <c r="G190" s="194" t="s">
        <v>3179</v>
      </c>
      <c r="H190" s="195">
        <v>120</v>
      </c>
      <c r="I190" s="194" t="s">
        <v>391</v>
      </c>
      <c r="J190" s="194" t="s">
        <v>2994</v>
      </c>
      <c r="K190" s="197"/>
      <c r="L190" s="197"/>
      <c r="M190" s="194" t="s">
        <v>2956</v>
      </c>
    </row>
    <row r="191" spans="1:13" ht="26.25">
      <c r="A191" s="194">
        <v>210</v>
      </c>
      <c r="B191" s="194" t="s">
        <v>3191</v>
      </c>
      <c r="C191" s="194" t="s">
        <v>2969</v>
      </c>
      <c r="D191" s="194" t="s">
        <v>2992</v>
      </c>
      <c r="E191" s="194">
        <v>30</v>
      </c>
      <c r="F191" s="194" t="s">
        <v>33</v>
      </c>
      <c r="G191" s="194" t="s">
        <v>3179</v>
      </c>
      <c r="H191" s="195">
        <v>380</v>
      </c>
      <c r="I191" s="194" t="s">
        <v>391</v>
      </c>
      <c r="J191" s="194" t="s">
        <v>2994</v>
      </c>
      <c r="K191" s="197"/>
      <c r="L191" s="197"/>
      <c r="M191" s="194" t="s">
        <v>2956</v>
      </c>
    </row>
    <row r="192" spans="1:13" ht="26.25">
      <c r="A192" s="194">
        <v>211</v>
      </c>
      <c r="B192" s="194" t="s">
        <v>3192</v>
      </c>
      <c r="C192" s="194" t="s">
        <v>2969</v>
      </c>
      <c r="D192" s="194" t="s">
        <v>343</v>
      </c>
      <c r="E192" s="194">
        <v>40</v>
      </c>
      <c r="F192" s="194" t="s">
        <v>3193</v>
      </c>
      <c r="G192" s="194" t="s">
        <v>3194</v>
      </c>
      <c r="H192" s="195">
        <v>240</v>
      </c>
      <c r="I192" s="194" t="s">
        <v>391</v>
      </c>
      <c r="J192" s="194" t="s">
        <v>2994</v>
      </c>
      <c r="K192" s="197"/>
      <c r="L192" s="197"/>
      <c r="M192" s="194" t="s">
        <v>2956</v>
      </c>
    </row>
    <row r="193" spans="1:13" ht="26.25">
      <c r="A193" s="194">
        <v>212</v>
      </c>
      <c r="B193" s="194" t="s">
        <v>3195</v>
      </c>
      <c r="C193" s="194" t="s">
        <v>2969</v>
      </c>
      <c r="D193" s="194" t="s">
        <v>343</v>
      </c>
      <c r="E193" s="194">
        <v>150</v>
      </c>
      <c r="F193" s="194" t="s">
        <v>33</v>
      </c>
      <c r="G193" s="194" t="s">
        <v>3194</v>
      </c>
      <c r="H193" s="195">
        <v>1500</v>
      </c>
      <c r="I193" s="194" t="s">
        <v>391</v>
      </c>
      <c r="J193" s="194" t="s">
        <v>2994</v>
      </c>
      <c r="K193" s="197"/>
      <c r="L193" s="197"/>
      <c r="M193" s="194" t="s">
        <v>2956</v>
      </c>
    </row>
    <row r="194" spans="1:13" ht="26.25">
      <c r="A194" s="194">
        <v>213</v>
      </c>
      <c r="B194" s="194" t="s">
        <v>3196</v>
      </c>
      <c r="C194" s="194" t="s">
        <v>2969</v>
      </c>
      <c r="D194" s="194" t="s">
        <v>343</v>
      </c>
      <c r="E194" s="194">
        <v>10</v>
      </c>
      <c r="F194" s="194" t="s">
        <v>89</v>
      </c>
      <c r="G194" s="194" t="s">
        <v>3194</v>
      </c>
      <c r="H194" s="195">
        <v>600</v>
      </c>
      <c r="I194" s="194" t="s">
        <v>391</v>
      </c>
      <c r="J194" s="194" t="s">
        <v>331</v>
      </c>
      <c r="K194" s="197"/>
      <c r="L194" s="197"/>
      <c r="M194" s="194" t="s">
        <v>2956</v>
      </c>
    </row>
    <row r="195" spans="1:13" ht="26.25">
      <c r="A195" s="194">
        <v>214</v>
      </c>
      <c r="B195" s="194" t="s">
        <v>3197</v>
      </c>
      <c r="C195" s="194" t="s">
        <v>2969</v>
      </c>
      <c r="D195" s="194" t="s">
        <v>343</v>
      </c>
      <c r="E195" s="194">
        <v>20</v>
      </c>
      <c r="F195" s="194" t="s">
        <v>52</v>
      </c>
      <c r="G195" s="194" t="s">
        <v>3194</v>
      </c>
      <c r="H195" s="195">
        <v>650</v>
      </c>
      <c r="I195" s="194" t="s">
        <v>391</v>
      </c>
      <c r="J195" s="194" t="s">
        <v>331</v>
      </c>
      <c r="K195" s="197"/>
      <c r="L195" s="197"/>
      <c r="M195" s="194" t="s">
        <v>2956</v>
      </c>
    </row>
    <row r="196" spans="1:13" ht="26.25">
      <c r="A196" s="194">
        <v>215</v>
      </c>
      <c r="B196" s="194" t="s">
        <v>3198</v>
      </c>
      <c r="C196" s="194" t="s">
        <v>2969</v>
      </c>
      <c r="D196" s="194" t="s">
        <v>343</v>
      </c>
      <c r="E196" s="194">
        <v>10</v>
      </c>
      <c r="F196" s="194" t="s">
        <v>105</v>
      </c>
      <c r="G196" s="194" t="s">
        <v>3194</v>
      </c>
      <c r="H196" s="195">
        <v>580</v>
      </c>
      <c r="I196" s="194" t="s">
        <v>391</v>
      </c>
      <c r="J196" s="194" t="s">
        <v>331</v>
      </c>
      <c r="K196" s="197"/>
      <c r="L196" s="197"/>
      <c r="M196" s="194" t="s">
        <v>2956</v>
      </c>
    </row>
    <row r="197" spans="1:13" ht="26.25">
      <c r="A197" s="194">
        <v>216</v>
      </c>
      <c r="B197" s="194" t="s">
        <v>3199</v>
      </c>
      <c r="C197" s="194" t="s">
        <v>2969</v>
      </c>
      <c r="D197" s="194" t="s">
        <v>343</v>
      </c>
      <c r="E197" s="194">
        <v>10</v>
      </c>
      <c r="F197" s="194" t="s">
        <v>3193</v>
      </c>
      <c r="G197" s="194" t="s">
        <v>3194</v>
      </c>
      <c r="H197" s="195">
        <v>50</v>
      </c>
      <c r="I197" s="194" t="s">
        <v>391</v>
      </c>
      <c r="J197" s="194" t="s">
        <v>331</v>
      </c>
      <c r="K197" s="197"/>
      <c r="L197" s="197"/>
      <c r="M197" s="194" t="s">
        <v>2956</v>
      </c>
    </row>
    <row r="198" spans="1:13" ht="26.25">
      <c r="A198" s="194">
        <v>217</v>
      </c>
      <c r="B198" s="194" t="s">
        <v>3200</v>
      </c>
      <c r="C198" s="194" t="s">
        <v>2969</v>
      </c>
      <c r="D198" s="194" t="s">
        <v>343</v>
      </c>
      <c r="E198" s="194">
        <v>5</v>
      </c>
      <c r="F198" s="194" t="s">
        <v>3193</v>
      </c>
      <c r="G198" s="194" t="s">
        <v>3194</v>
      </c>
      <c r="H198" s="195">
        <v>60</v>
      </c>
      <c r="I198" s="194" t="s">
        <v>391</v>
      </c>
      <c r="J198" s="194" t="s">
        <v>331</v>
      </c>
      <c r="K198" s="197"/>
      <c r="L198" s="197"/>
      <c r="M198" s="194" t="s">
        <v>2956</v>
      </c>
    </row>
    <row r="199" spans="1:13" ht="26.25">
      <c r="A199" s="194">
        <v>218</v>
      </c>
      <c r="B199" s="194" t="s">
        <v>3201</v>
      </c>
      <c r="C199" s="194" t="s">
        <v>2969</v>
      </c>
      <c r="D199" s="194" t="s">
        <v>343</v>
      </c>
      <c r="E199" s="194">
        <v>6</v>
      </c>
      <c r="F199" s="194" t="s">
        <v>3193</v>
      </c>
      <c r="G199" s="194" t="s">
        <v>3194</v>
      </c>
      <c r="H199" s="195">
        <v>150</v>
      </c>
      <c r="I199" s="194" t="s">
        <v>391</v>
      </c>
      <c r="J199" s="194" t="s">
        <v>331</v>
      </c>
      <c r="K199" s="197"/>
      <c r="L199" s="197"/>
      <c r="M199" s="194" t="s">
        <v>2956</v>
      </c>
    </row>
    <row r="200" spans="1:13" ht="26.25">
      <c r="A200" s="194">
        <v>219</v>
      </c>
      <c r="B200" s="194" t="s">
        <v>3202</v>
      </c>
      <c r="C200" s="194" t="s">
        <v>2969</v>
      </c>
      <c r="D200" s="194" t="s">
        <v>343</v>
      </c>
      <c r="E200" s="194">
        <v>20</v>
      </c>
      <c r="F200" s="194" t="s">
        <v>52</v>
      </c>
      <c r="G200" s="194" t="s">
        <v>3194</v>
      </c>
      <c r="H200" s="195">
        <v>150</v>
      </c>
      <c r="I200" s="194" t="s">
        <v>391</v>
      </c>
      <c r="J200" s="194" t="s">
        <v>331</v>
      </c>
      <c r="K200" s="197"/>
      <c r="L200" s="197"/>
      <c r="M200" s="194" t="s">
        <v>2956</v>
      </c>
    </row>
    <row r="201" spans="1:13" ht="26.25">
      <c r="A201" s="194">
        <v>220</v>
      </c>
      <c r="B201" s="194" t="s">
        <v>3203</v>
      </c>
      <c r="C201" s="194" t="s">
        <v>2969</v>
      </c>
      <c r="D201" s="194" t="s">
        <v>343</v>
      </c>
      <c r="E201" s="194">
        <v>6</v>
      </c>
      <c r="F201" s="194" t="s">
        <v>52</v>
      </c>
      <c r="G201" s="194" t="s">
        <v>3194</v>
      </c>
      <c r="H201" s="195">
        <v>60</v>
      </c>
      <c r="I201" s="194" t="s">
        <v>391</v>
      </c>
      <c r="J201" s="194" t="s">
        <v>331</v>
      </c>
      <c r="K201" s="197"/>
      <c r="L201" s="197"/>
      <c r="M201" s="194" t="s">
        <v>2956</v>
      </c>
    </row>
    <row r="202" spans="1:13" ht="26.25">
      <c r="A202" s="194">
        <v>221</v>
      </c>
      <c r="B202" s="194" t="s">
        <v>3204</v>
      </c>
      <c r="C202" s="194" t="s">
        <v>2969</v>
      </c>
      <c r="D202" s="194" t="s">
        <v>343</v>
      </c>
      <c r="E202" s="194">
        <v>15</v>
      </c>
      <c r="F202" s="194" t="s">
        <v>3193</v>
      </c>
      <c r="G202" s="194" t="s">
        <v>3194</v>
      </c>
      <c r="H202" s="195">
        <v>150</v>
      </c>
      <c r="I202" s="194" t="s">
        <v>391</v>
      </c>
      <c r="J202" s="194" t="s">
        <v>331</v>
      </c>
      <c r="K202" s="197"/>
      <c r="L202" s="197"/>
      <c r="M202" s="194" t="s">
        <v>2956</v>
      </c>
    </row>
    <row r="203" spans="1:13" ht="26.25">
      <c r="A203" s="194">
        <v>222</v>
      </c>
      <c r="B203" s="194" t="s">
        <v>3205</v>
      </c>
      <c r="C203" s="194" t="s">
        <v>2969</v>
      </c>
      <c r="D203" s="194" t="s">
        <v>343</v>
      </c>
      <c r="E203" s="194">
        <v>18</v>
      </c>
      <c r="F203" s="194" t="s">
        <v>33</v>
      </c>
      <c r="G203" s="194" t="s">
        <v>3194</v>
      </c>
      <c r="H203" s="195">
        <v>900</v>
      </c>
      <c r="I203" s="194" t="s">
        <v>391</v>
      </c>
      <c r="J203" s="194" t="s">
        <v>331</v>
      </c>
      <c r="K203" s="197"/>
      <c r="L203" s="197"/>
      <c r="M203" s="194" t="s">
        <v>2956</v>
      </c>
    </row>
    <row r="204" spans="1:13" ht="26.25">
      <c r="A204" s="194">
        <v>223</v>
      </c>
      <c r="B204" s="194" t="s">
        <v>3206</v>
      </c>
      <c r="C204" s="194" t="s">
        <v>2969</v>
      </c>
      <c r="D204" s="194" t="s">
        <v>343</v>
      </c>
      <c r="E204" s="194">
        <v>10</v>
      </c>
      <c r="F204" s="194" t="s">
        <v>33</v>
      </c>
      <c r="G204" s="194" t="s">
        <v>3194</v>
      </c>
      <c r="H204" s="195">
        <v>1200</v>
      </c>
      <c r="I204" s="194" t="s">
        <v>391</v>
      </c>
      <c r="J204" s="194" t="s">
        <v>331</v>
      </c>
      <c r="K204" s="197"/>
      <c r="L204" s="197"/>
      <c r="M204" s="194" t="s">
        <v>2956</v>
      </c>
    </row>
    <row r="205" spans="1:13" ht="26.25">
      <c r="A205" s="194">
        <v>224</v>
      </c>
      <c r="B205" s="194" t="s">
        <v>3207</v>
      </c>
      <c r="C205" s="194" t="s">
        <v>2969</v>
      </c>
      <c r="D205" s="194" t="s">
        <v>343</v>
      </c>
      <c r="E205" s="194">
        <v>10</v>
      </c>
      <c r="F205" s="194" t="s">
        <v>33</v>
      </c>
      <c r="G205" s="194" t="s">
        <v>3194</v>
      </c>
      <c r="H205" s="195">
        <v>1200</v>
      </c>
      <c r="I205" s="194" t="s">
        <v>391</v>
      </c>
      <c r="J205" s="194" t="s">
        <v>331</v>
      </c>
      <c r="K205" s="197"/>
      <c r="L205" s="197"/>
      <c r="M205" s="194" t="s">
        <v>2956</v>
      </c>
    </row>
    <row r="206" spans="1:13" ht="26.25">
      <c r="A206" s="194">
        <v>225</v>
      </c>
      <c r="B206" s="194" t="s">
        <v>3208</v>
      </c>
      <c r="C206" s="194" t="s">
        <v>2969</v>
      </c>
      <c r="D206" s="194" t="s">
        <v>343</v>
      </c>
      <c r="E206" s="197"/>
      <c r="F206" s="194" t="s">
        <v>3193</v>
      </c>
      <c r="G206" s="194" t="s">
        <v>3194</v>
      </c>
      <c r="H206" s="198"/>
      <c r="I206" s="194" t="s">
        <v>391</v>
      </c>
      <c r="J206" s="194" t="s">
        <v>331</v>
      </c>
      <c r="K206" s="197"/>
      <c r="L206" s="197"/>
      <c r="M206" s="194" t="s">
        <v>2956</v>
      </c>
    </row>
    <row r="207" spans="1:13" ht="26.25">
      <c r="A207" s="194">
        <v>226</v>
      </c>
      <c r="B207" s="194" t="s">
        <v>3209</v>
      </c>
      <c r="C207" s="194" t="s">
        <v>2969</v>
      </c>
      <c r="D207" s="194" t="s">
        <v>343</v>
      </c>
      <c r="E207" s="194">
        <v>15</v>
      </c>
      <c r="F207" s="194" t="s">
        <v>33</v>
      </c>
      <c r="G207" s="194" t="s">
        <v>3194</v>
      </c>
      <c r="H207" s="198"/>
      <c r="I207" s="194" t="s">
        <v>391</v>
      </c>
      <c r="J207" s="194" t="s">
        <v>331</v>
      </c>
      <c r="K207" s="197"/>
      <c r="L207" s="197"/>
      <c r="M207" s="194" t="s">
        <v>2956</v>
      </c>
    </row>
    <row r="208" spans="1:13" ht="26.25">
      <c r="A208" s="194">
        <v>227</v>
      </c>
      <c r="B208" s="194" t="s">
        <v>3210</v>
      </c>
      <c r="C208" s="194" t="s">
        <v>2969</v>
      </c>
      <c r="D208" s="194" t="s">
        <v>343</v>
      </c>
      <c r="E208" s="194">
        <v>600</v>
      </c>
      <c r="F208" s="194" t="s">
        <v>3193</v>
      </c>
      <c r="G208" s="194" t="s">
        <v>3194</v>
      </c>
      <c r="H208" s="198"/>
      <c r="I208" s="194" t="s">
        <v>391</v>
      </c>
      <c r="J208" s="194" t="s">
        <v>331</v>
      </c>
      <c r="K208" s="197"/>
      <c r="L208" s="197"/>
      <c r="M208" s="194" t="s">
        <v>2956</v>
      </c>
    </row>
    <row r="209" spans="1:13" ht="26.25">
      <c r="A209" s="194">
        <v>228</v>
      </c>
      <c r="B209" s="194" t="s">
        <v>3211</v>
      </c>
      <c r="C209" s="194" t="s">
        <v>2969</v>
      </c>
      <c r="D209" s="194" t="s">
        <v>343</v>
      </c>
      <c r="E209" s="194">
        <v>70</v>
      </c>
      <c r="F209" s="194" t="s">
        <v>52</v>
      </c>
      <c r="G209" s="194" t="s">
        <v>3194</v>
      </c>
      <c r="H209" s="198"/>
      <c r="I209" s="194" t="s">
        <v>391</v>
      </c>
      <c r="J209" s="194" t="s">
        <v>331</v>
      </c>
      <c r="K209" s="197"/>
      <c r="L209" s="197"/>
      <c r="M209" s="194" t="s">
        <v>2956</v>
      </c>
    </row>
    <row r="210" spans="1:13" ht="26.25">
      <c r="A210" s="194">
        <v>229</v>
      </c>
      <c r="B210" s="194" t="s">
        <v>3212</v>
      </c>
      <c r="C210" s="194" t="s">
        <v>2969</v>
      </c>
      <c r="D210" s="194" t="s">
        <v>343</v>
      </c>
      <c r="E210" s="197"/>
      <c r="F210" s="194" t="s">
        <v>52</v>
      </c>
      <c r="G210" s="194" t="s">
        <v>3194</v>
      </c>
      <c r="H210" s="198"/>
      <c r="I210" s="194" t="s">
        <v>391</v>
      </c>
      <c r="J210" s="194" t="s">
        <v>331</v>
      </c>
      <c r="K210" s="197"/>
      <c r="L210" s="197"/>
      <c r="M210" s="194" t="s">
        <v>2956</v>
      </c>
    </row>
    <row r="211" spans="1:13" ht="26.25">
      <c r="A211" s="194">
        <v>231</v>
      </c>
      <c r="B211" s="194" t="s">
        <v>3213</v>
      </c>
      <c r="C211" s="194" t="s">
        <v>2969</v>
      </c>
      <c r="D211" s="194" t="s">
        <v>343</v>
      </c>
      <c r="E211" s="194">
        <v>250</v>
      </c>
      <c r="F211" s="194" t="s">
        <v>52</v>
      </c>
      <c r="G211" s="194" t="s">
        <v>3194</v>
      </c>
      <c r="H211" s="195">
        <v>1875</v>
      </c>
      <c r="I211" s="194" t="s">
        <v>391</v>
      </c>
      <c r="J211" s="194" t="s">
        <v>331</v>
      </c>
      <c r="K211" s="197"/>
      <c r="L211" s="197"/>
      <c r="M211" s="194" t="s">
        <v>2956</v>
      </c>
    </row>
    <row r="212" spans="1:13" ht="26.25">
      <c r="A212" s="194">
        <v>233</v>
      </c>
      <c r="B212" s="194" t="s">
        <v>3214</v>
      </c>
      <c r="C212" s="194" t="s">
        <v>2969</v>
      </c>
      <c r="D212" s="194" t="s">
        <v>343</v>
      </c>
      <c r="E212" s="194">
        <v>8</v>
      </c>
      <c r="F212" s="194" t="s">
        <v>52</v>
      </c>
      <c r="G212" s="194" t="s">
        <v>3194</v>
      </c>
      <c r="H212" s="195">
        <v>111.92</v>
      </c>
      <c r="I212" s="194" t="s">
        <v>391</v>
      </c>
      <c r="J212" s="194" t="s">
        <v>331</v>
      </c>
      <c r="K212" s="197"/>
      <c r="L212" s="197"/>
      <c r="M212" s="194" t="s">
        <v>2956</v>
      </c>
    </row>
    <row r="213" spans="1:13" ht="26.25">
      <c r="A213" s="194">
        <v>234</v>
      </c>
      <c r="B213" s="194" t="s">
        <v>3215</v>
      </c>
      <c r="C213" s="194" t="s">
        <v>2969</v>
      </c>
      <c r="D213" s="194" t="s">
        <v>343</v>
      </c>
      <c r="E213" s="194">
        <v>2</v>
      </c>
      <c r="F213" s="194" t="s">
        <v>57</v>
      </c>
      <c r="G213" s="194" t="s">
        <v>3194</v>
      </c>
      <c r="H213" s="195">
        <v>139.97999999999999</v>
      </c>
      <c r="I213" s="194" t="s">
        <v>391</v>
      </c>
      <c r="J213" s="194" t="s">
        <v>331</v>
      </c>
      <c r="K213" s="197"/>
      <c r="L213" s="197"/>
      <c r="M213" s="194" t="s">
        <v>2956</v>
      </c>
    </row>
    <row r="214" spans="1:13" ht="26.25">
      <c r="A214" s="194">
        <v>235</v>
      </c>
      <c r="B214" s="194" t="s">
        <v>3216</v>
      </c>
      <c r="C214" s="194" t="s">
        <v>2969</v>
      </c>
      <c r="D214" s="194" t="s">
        <v>343</v>
      </c>
      <c r="E214" s="194">
        <v>10</v>
      </c>
      <c r="F214" s="194" t="s">
        <v>3193</v>
      </c>
      <c r="G214" s="194" t="s">
        <v>3194</v>
      </c>
      <c r="H214" s="195">
        <v>49.9</v>
      </c>
      <c r="I214" s="194" t="s">
        <v>391</v>
      </c>
      <c r="J214" s="194" t="s">
        <v>331</v>
      </c>
      <c r="K214" s="197"/>
      <c r="L214" s="197"/>
      <c r="M214" s="194" t="s">
        <v>2956</v>
      </c>
    </row>
    <row r="215" spans="1:13" ht="26.25">
      <c r="A215" s="194">
        <v>236</v>
      </c>
      <c r="B215" s="194" t="s">
        <v>3217</v>
      </c>
      <c r="C215" s="194" t="s">
        <v>2969</v>
      </c>
      <c r="D215" s="194" t="s">
        <v>343</v>
      </c>
      <c r="E215" s="194">
        <v>10</v>
      </c>
      <c r="F215" s="194" t="s">
        <v>3193</v>
      </c>
      <c r="G215" s="194" t="s">
        <v>3194</v>
      </c>
      <c r="H215" s="195">
        <v>39.9</v>
      </c>
      <c r="I215" s="194" t="s">
        <v>391</v>
      </c>
      <c r="J215" s="194" t="s">
        <v>331</v>
      </c>
      <c r="K215" s="197"/>
      <c r="L215" s="197"/>
      <c r="M215" s="194" t="s">
        <v>2956</v>
      </c>
    </row>
    <row r="216" spans="1:13" ht="26.25">
      <c r="A216" s="194">
        <v>237</v>
      </c>
      <c r="B216" s="194" t="s">
        <v>3218</v>
      </c>
      <c r="C216" s="194" t="s">
        <v>2969</v>
      </c>
      <c r="D216" s="194" t="s">
        <v>343</v>
      </c>
      <c r="E216" s="194">
        <v>40</v>
      </c>
      <c r="F216" s="194" t="s">
        <v>58</v>
      </c>
      <c r="G216" s="194" t="s">
        <v>3194</v>
      </c>
      <c r="H216" s="195">
        <v>979.6</v>
      </c>
      <c r="I216" s="194" t="s">
        <v>391</v>
      </c>
      <c r="J216" s="194" t="s">
        <v>331</v>
      </c>
      <c r="K216" s="197"/>
      <c r="L216" s="197"/>
      <c r="M216" s="194" t="s">
        <v>2956</v>
      </c>
    </row>
    <row r="217" spans="1:13" ht="26.25">
      <c r="A217" s="194">
        <v>238</v>
      </c>
      <c r="B217" s="194" t="s">
        <v>3219</v>
      </c>
      <c r="C217" s="194" t="s">
        <v>2969</v>
      </c>
      <c r="D217" s="194" t="s">
        <v>343</v>
      </c>
      <c r="E217" s="194">
        <v>20</v>
      </c>
      <c r="F217" s="194" t="s">
        <v>57</v>
      </c>
      <c r="G217" s="194" t="s">
        <v>3194</v>
      </c>
      <c r="H217" s="195">
        <v>277.8</v>
      </c>
      <c r="I217" s="194" t="s">
        <v>391</v>
      </c>
      <c r="J217" s="194" t="s">
        <v>331</v>
      </c>
      <c r="K217" s="197"/>
      <c r="L217" s="197"/>
      <c r="M217" s="194" t="s">
        <v>2956</v>
      </c>
    </row>
    <row r="218" spans="1:13" ht="26.25">
      <c r="A218" s="194">
        <v>239</v>
      </c>
      <c r="B218" s="194" t="s">
        <v>3220</v>
      </c>
      <c r="C218" s="194" t="s">
        <v>2969</v>
      </c>
      <c r="D218" s="194" t="s">
        <v>343</v>
      </c>
      <c r="E218" s="194">
        <v>25</v>
      </c>
      <c r="F218" s="194" t="s">
        <v>52</v>
      </c>
      <c r="G218" s="194" t="s">
        <v>3194</v>
      </c>
      <c r="H218" s="195">
        <v>547.5</v>
      </c>
      <c r="I218" s="194" t="s">
        <v>391</v>
      </c>
      <c r="J218" s="194" t="s">
        <v>331</v>
      </c>
      <c r="K218" s="197"/>
      <c r="L218" s="197"/>
      <c r="M218" s="194" t="s">
        <v>2956</v>
      </c>
    </row>
    <row r="219" spans="1:13" ht="26.25">
      <c r="A219" s="194">
        <v>240</v>
      </c>
      <c r="B219" s="194" t="s">
        <v>3221</v>
      </c>
      <c r="C219" s="194" t="s">
        <v>2969</v>
      </c>
      <c r="D219" s="194" t="s">
        <v>343</v>
      </c>
      <c r="E219" s="194">
        <v>5</v>
      </c>
      <c r="F219" s="194" t="s">
        <v>3193</v>
      </c>
      <c r="G219" s="194" t="s">
        <v>3194</v>
      </c>
      <c r="H219" s="195">
        <v>495.85</v>
      </c>
      <c r="I219" s="194" t="s">
        <v>391</v>
      </c>
      <c r="J219" s="194" t="s">
        <v>331</v>
      </c>
      <c r="K219" s="197"/>
      <c r="L219" s="197"/>
      <c r="M219" s="194" t="s">
        <v>2956</v>
      </c>
    </row>
    <row r="220" spans="1:13" ht="39">
      <c r="A220" s="194">
        <v>241</v>
      </c>
      <c r="B220" s="194" t="s">
        <v>3222</v>
      </c>
      <c r="C220" s="194" t="s">
        <v>2969</v>
      </c>
      <c r="D220" s="194" t="s">
        <v>343</v>
      </c>
      <c r="E220" s="194">
        <v>18</v>
      </c>
      <c r="F220" s="194" t="s">
        <v>33</v>
      </c>
      <c r="G220" s="194" t="s">
        <v>3194</v>
      </c>
      <c r="H220" s="195">
        <v>116.82</v>
      </c>
      <c r="I220" s="194" t="s">
        <v>391</v>
      </c>
      <c r="J220" s="194" t="s">
        <v>331</v>
      </c>
      <c r="K220" s="197"/>
      <c r="L220" s="197"/>
      <c r="M220" s="194" t="s">
        <v>2956</v>
      </c>
    </row>
    <row r="221" spans="1:13" ht="26.25">
      <c r="A221" s="194">
        <v>242</v>
      </c>
      <c r="B221" s="194" t="s">
        <v>3223</v>
      </c>
      <c r="C221" s="194" t="s">
        <v>2969</v>
      </c>
      <c r="D221" s="194" t="s">
        <v>343</v>
      </c>
      <c r="E221" s="194">
        <v>2</v>
      </c>
      <c r="F221" s="194" t="s">
        <v>52</v>
      </c>
      <c r="G221" s="194" t="s">
        <v>3194</v>
      </c>
      <c r="H221" s="195">
        <v>30</v>
      </c>
      <c r="I221" s="194" t="s">
        <v>391</v>
      </c>
      <c r="J221" s="194" t="s">
        <v>331</v>
      </c>
      <c r="K221" s="197"/>
      <c r="L221" s="197"/>
      <c r="M221" s="194" t="s">
        <v>2956</v>
      </c>
    </row>
    <row r="222" spans="1:13" ht="26.25">
      <c r="A222" s="194">
        <v>243</v>
      </c>
      <c r="B222" s="194" t="s">
        <v>3224</v>
      </c>
      <c r="C222" s="194" t="s">
        <v>2969</v>
      </c>
      <c r="D222" s="194" t="s">
        <v>343</v>
      </c>
      <c r="E222" s="194">
        <v>250</v>
      </c>
      <c r="F222" s="194" t="s">
        <v>57</v>
      </c>
      <c r="G222" s="194" t="s">
        <v>3194</v>
      </c>
      <c r="H222" s="195">
        <v>820.07</v>
      </c>
      <c r="I222" s="194" t="s">
        <v>391</v>
      </c>
      <c r="J222" s="194" t="s">
        <v>331</v>
      </c>
      <c r="K222" s="197"/>
      <c r="L222" s="197"/>
      <c r="M222" s="194" t="s">
        <v>2956</v>
      </c>
    </row>
    <row r="223" spans="1:13" ht="26.25">
      <c r="A223" s="194">
        <v>244</v>
      </c>
      <c r="B223" s="194" t="s">
        <v>3225</v>
      </c>
      <c r="C223" s="194" t="s">
        <v>2969</v>
      </c>
      <c r="D223" s="194" t="s">
        <v>343</v>
      </c>
      <c r="E223" s="194">
        <v>60</v>
      </c>
      <c r="F223" s="194" t="s">
        <v>33</v>
      </c>
      <c r="G223" s="194" t="s">
        <v>3194</v>
      </c>
      <c r="H223" s="195">
        <v>162.49</v>
      </c>
      <c r="I223" s="194" t="s">
        <v>391</v>
      </c>
      <c r="J223" s="194" t="s">
        <v>331</v>
      </c>
      <c r="K223" s="197"/>
      <c r="L223" s="197"/>
      <c r="M223" s="194" t="s">
        <v>2956</v>
      </c>
    </row>
    <row r="224" spans="1:13" ht="26.25">
      <c r="A224" s="194">
        <v>245</v>
      </c>
      <c r="B224" s="194" t="s">
        <v>3226</v>
      </c>
      <c r="C224" s="194" t="s">
        <v>2969</v>
      </c>
      <c r="D224" s="194" t="s">
        <v>343</v>
      </c>
      <c r="E224" s="194">
        <v>20</v>
      </c>
      <c r="F224" s="194" t="s">
        <v>52</v>
      </c>
      <c r="G224" s="194" t="s">
        <v>3194</v>
      </c>
      <c r="H224" s="195">
        <v>470</v>
      </c>
      <c r="I224" s="194" t="s">
        <v>391</v>
      </c>
      <c r="J224" s="194" t="s">
        <v>331</v>
      </c>
      <c r="K224" s="197"/>
      <c r="L224" s="197"/>
      <c r="M224" s="194" t="s">
        <v>2956</v>
      </c>
    </row>
    <row r="225" spans="1:13" ht="26.25">
      <c r="A225" s="194">
        <v>246</v>
      </c>
      <c r="B225" s="194" t="s">
        <v>3227</v>
      </c>
      <c r="C225" s="194" t="s">
        <v>2969</v>
      </c>
      <c r="D225" s="194" t="s">
        <v>343</v>
      </c>
      <c r="E225" s="194">
        <v>20</v>
      </c>
      <c r="F225" s="194" t="s">
        <v>52</v>
      </c>
      <c r="G225" s="194" t="s">
        <v>3194</v>
      </c>
      <c r="H225" s="195">
        <v>92</v>
      </c>
      <c r="I225" s="194" t="s">
        <v>391</v>
      </c>
      <c r="J225" s="194" t="s">
        <v>331</v>
      </c>
      <c r="K225" s="197"/>
      <c r="L225" s="197"/>
      <c r="M225" s="194" t="s">
        <v>2956</v>
      </c>
    </row>
    <row r="226" spans="1:13" ht="26.25">
      <c r="A226" s="194">
        <v>247</v>
      </c>
      <c r="B226" s="194" t="s">
        <v>3228</v>
      </c>
      <c r="C226" s="194" t="s">
        <v>2969</v>
      </c>
      <c r="D226" s="194" t="s">
        <v>343</v>
      </c>
      <c r="E226" s="194">
        <v>10</v>
      </c>
      <c r="F226" s="194" t="s">
        <v>52</v>
      </c>
      <c r="G226" s="194" t="s">
        <v>3194</v>
      </c>
      <c r="H226" s="195">
        <v>111.4</v>
      </c>
      <c r="I226" s="194" t="s">
        <v>391</v>
      </c>
      <c r="J226" s="194" t="s">
        <v>331</v>
      </c>
      <c r="K226" s="197"/>
      <c r="L226" s="197"/>
      <c r="M226" s="194" t="s">
        <v>2956</v>
      </c>
    </row>
    <row r="227" spans="1:13" ht="26.25">
      <c r="A227" s="194">
        <v>248</v>
      </c>
      <c r="B227" s="194" t="s">
        <v>3229</v>
      </c>
      <c r="C227" s="194" t="s">
        <v>2969</v>
      </c>
      <c r="D227" s="194" t="s">
        <v>343</v>
      </c>
      <c r="E227" s="194">
        <v>300</v>
      </c>
      <c r="F227" s="194" t="s">
        <v>3193</v>
      </c>
      <c r="G227" s="194" t="s">
        <v>3194</v>
      </c>
      <c r="H227" s="195">
        <v>1797</v>
      </c>
      <c r="I227" s="194" t="s">
        <v>391</v>
      </c>
      <c r="J227" s="194" t="s">
        <v>331</v>
      </c>
      <c r="K227" s="197"/>
      <c r="L227" s="197"/>
      <c r="M227" s="194" t="s">
        <v>2956</v>
      </c>
    </row>
    <row r="228" spans="1:13" ht="26.25">
      <c r="A228" s="194">
        <v>249</v>
      </c>
      <c r="B228" s="194" t="s">
        <v>3230</v>
      </c>
      <c r="C228" s="194" t="s">
        <v>2969</v>
      </c>
      <c r="D228" s="194" t="s">
        <v>343</v>
      </c>
      <c r="E228" s="194">
        <v>240</v>
      </c>
      <c r="F228" s="194" t="s">
        <v>33</v>
      </c>
      <c r="G228" s="194" t="s">
        <v>3194</v>
      </c>
      <c r="H228" s="195">
        <v>429.6</v>
      </c>
      <c r="I228" s="194" t="s">
        <v>391</v>
      </c>
      <c r="J228" s="194" t="s">
        <v>331</v>
      </c>
      <c r="K228" s="197"/>
      <c r="L228" s="197"/>
      <c r="M228" s="194" t="s">
        <v>2956</v>
      </c>
    </row>
    <row r="229" spans="1:13" ht="26.25">
      <c r="A229" s="194">
        <v>250</v>
      </c>
      <c r="B229" s="194" t="s">
        <v>3231</v>
      </c>
      <c r="C229" s="194" t="s">
        <v>2969</v>
      </c>
      <c r="D229" s="194" t="s">
        <v>343</v>
      </c>
      <c r="E229" s="194">
        <v>20</v>
      </c>
      <c r="F229" s="194" t="s">
        <v>33</v>
      </c>
      <c r="G229" s="194" t="s">
        <v>3194</v>
      </c>
      <c r="H229" s="195">
        <v>95</v>
      </c>
      <c r="I229" s="194" t="s">
        <v>391</v>
      </c>
      <c r="J229" s="194" t="s">
        <v>331</v>
      </c>
      <c r="K229" s="197"/>
      <c r="L229" s="197"/>
      <c r="M229" s="194" t="s">
        <v>2956</v>
      </c>
    </row>
    <row r="230" spans="1:13" ht="26.25">
      <c r="A230" s="194">
        <v>251</v>
      </c>
      <c r="B230" s="194" t="s">
        <v>3232</v>
      </c>
      <c r="C230" s="194" t="s">
        <v>2969</v>
      </c>
      <c r="D230" s="194" t="s">
        <v>343</v>
      </c>
      <c r="E230" s="194">
        <v>300</v>
      </c>
      <c r="F230" s="194" t="s">
        <v>52</v>
      </c>
      <c r="G230" s="194" t="s">
        <v>3194</v>
      </c>
      <c r="H230" s="195">
        <v>4500</v>
      </c>
      <c r="I230" s="194" t="s">
        <v>391</v>
      </c>
      <c r="J230" s="194" t="s">
        <v>331</v>
      </c>
      <c r="K230" s="197"/>
      <c r="L230" s="197"/>
      <c r="M230" s="194" t="s">
        <v>2956</v>
      </c>
    </row>
    <row r="231" spans="1:13" ht="26.25">
      <c r="A231" s="194">
        <v>252</v>
      </c>
      <c r="B231" s="194" t="s">
        <v>3233</v>
      </c>
      <c r="C231" s="194" t="s">
        <v>2969</v>
      </c>
      <c r="D231" s="194" t="s">
        <v>343</v>
      </c>
      <c r="E231" s="194">
        <v>10</v>
      </c>
      <c r="F231" s="194" t="s">
        <v>52</v>
      </c>
      <c r="G231" s="194" t="s">
        <v>3194</v>
      </c>
      <c r="H231" s="195">
        <v>125</v>
      </c>
      <c r="I231" s="194" t="s">
        <v>391</v>
      </c>
      <c r="J231" s="194" t="s">
        <v>331</v>
      </c>
      <c r="K231" s="197"/>
      <c r="L231" s="197"/>
      <c r="M231" s="194" t="s">
        <v>2956</v>
      </c>
    </row>
    <row r="232" spans="1:13" ht="26.25">
      <c r="A232" s="194">
        <v>253</v>
      </c>
      <c r="B232" s="194" t="s">
        <v>3234</v>
      </c>
      <c r="C232" s="194" t="s">
        <v>2969</v>
      </c>
      <c r="D232" s="194" t="s">
        <v>343</v>
      </c>
      <c r="E232" s="194">
        <v>300</v>
      </c>
      <c r="F232" s="194" t="s">
        <v>3235</v>
      </c>
      <c r="G232" s="194" t="s">
        <v>3194</v>
      </c>
      <c r="H232" s="195">
        <v>1785</v>
      </c>
      <c r="I232" s="194" t="s">
        <v>391</v>
      </c>
      <c r="J232" s="194" t="s">
        <v>331</v>
      </c>
      <c r="K232" s="197"/>
      <c r="L232" s="197"/>
      <c r="M232" s="194" t="s">
        <v>2956</v>
      </c>
    </row>
    <row r="233" spans="1:13" ht="26.25">
      <c r="A233" s="194">
        <v>254</v>
      </c>
      <c r="B233" s="194" t="s">
        <v>3236</v>
      </c>
      <c r="C233" s="194" t="s">
        <v>2969</v>
      </c>
      <c r="D233" s="194" t="s">
        <v>343</v>
      </c>
      <c r="E233" s="194">
        <v>150</v>
      </c>
      <c r="F233" s="194" t="s">
        <v>52</v>
      </c>
      <c r="G233" s="194" t="s">
        <v>3194</v>
      </c>
      <c r="H233" s="195">
        <v>559.5</v>
      </c>
      <c r="I233" s="194" t="s">
        <v>391</v>
      </c>
      <c r="J233" s="194" t="s">
        <v>331</v>
      </c>
      <c r="K233" s="197"/>
      <c r="L233" s="197"/>
      <c r="M233" s="194" t="s">
        <v>2956</v>
      </c>
    </row>
    <row r="234" spans="1:13" ht="26.25">
      <c r="A234" s="194">
        <v>255</v>
      </c>
      <c r="B234" s="194" t="s">
        <v>3237</v>
      </c>
      <c r="C234" s="194" t="s">
        <v>2969</v>
      </c>
      <c r="D234" s="194" t="s">
        <v>343</v>
      </c>
      <c r="E234" s="194">
        <v>25</v>
      </c>
      <c r="F234" s="194" t="s">
        <v>3193</v>
      </c>
      <c r="G234" s="194" t="s">
        <v>3194</v>
      </c>
      <c r="H234" s="195">
        <v>124.75</v>
      </c>
      <c r="I234" s="194" t="s">
        <v>391</v>
      </c>
      <c r="J234" s="194" t="s">
        <v>331</v>
      </c>
      <c r="K234" s="197"/>
      <c r="L234" s="197"/>
      <c r="M234" s="194" t="s">
        <v>2956</v>
      </c>
    </row>
    <row r="235" spans="1:13" ht="26.25">
      <c r="A235" s="194">
        <v>257</v>
      </c>
      <c r="B235" s="194" t="s">
        <v>3238</v>
      </c>
      <c r="C235" s="194" t="s">
        <v>2969</v>
      </c>
      <c r="D235" s="194" t="s">
        <v>343</v>
      </c>
      <c r="E235" s="194">
        <v>300</v>
      </c>
      <c r="F235" s="194" t="s">
        <v>3239</v>
      </c>
      <c r="G235" s="194" t="s">
        <v>3194</v>
      </c>
      <c r="H235" s="195">
        <v>2628</v>
      </c>
      <c r="I235" s="194" t="s">
        <v>391</v>
      </c>
      <c r="J235" s="194" t="s">
        <v>331</v>
      </c>
      <c r="K235" s="197"/>
      <c r="L235" s="197"/>
      <c r="M235" s="194" t="s">
        <v>2956</v>
      </c>
    </row>
    <row r="236" spans="1:13" ht="26.25">
      <c r="A236" s="194">
        <v>258</v>
      </c>
      <c r="B236" s="194" t="s">
        <v>3240</v>
      </c>
      <c r="C236" s="194" t="s">
        <v>2969</v>
      </c>
      <c r="D236" s="194" t="s">
        <v>343</v>
      </c>
      <c r="E236" s="194">
        <v>20</v>
      </c>
      <c r="F236" s="194" t="s">
        <v>3193</v>
      </c>
      <c r="G236" s="194" t="s">
        <v>3194</v>
      </c>
      <c r="H236" s="195">
        <v>858</v>
      </c>
      <c r="I236" s="194" t="s">
        <v>391</v>
      </c>
      <c r="J236" s="194" t="s">
        <v>331</v>
      </c>
      <c r="K236" s="197"/>
      <c r="L236" s="197"/>
      <c r="M236" s="194" t="s">
        <v>2956</v>
      </c>
    </row>
    <row r="237" spans="1:13" ht="26.25">
      <c r="A237" s="194">
        <v>259</v>
      </c>
      <c r="B237" s="194" t="s">
        <v>3241</v>
      </c>
      <c r="C237" s="194" t="s">
        <v>2969</v>
      </c>
      <c r="D237" s="194" t="s">
        <v>343</v>
      </c>
      <c r="E237" s="194">
        <v>150</v>
      </c>
      <c r="F237" s="194" t="s">
        <v>58</v>
      </c>
      <c r="G237" s="194" t="s">
        <v>3194</v>
      </c>
      <c r="H237" s="195">
        <v>778.5</v>
      </c>
      <c r="I237" s="194" t="s">
        <v>391</v>
      </c>
      <c r="J237" s="194" t="s">
        <v>331</v>
      </c>
      <c r="K237" s="197"/>
      <c r="L237" s="197"/>
      <c r="M237" s="194" t="s">
        <v>2956</v>
      </c>
    </row>
    <row r="238" spans="1:13" ht="26.25">
      <c r="A238" s="194">
        <v>260</v>
      </c>
      <c r="B238" s="194" t="s">
        <v>3242</v>
      </c>
      <c r="C238" s="194" t="s">
        <v>2969</v>
      </c>
      <c r="D238" s="194" t="s">
        <v>343</v>
      </c>
      <c r="E238" s="194">
        <v>15</v>
      </c>
      <c r="F238" s="194" t="s">
        <v>3193</v>
      </c>
      <c r="G238" s="194" t="s">
        <v>3194</v>
      </c>
      <c r="H238" s="195">
        <v>123</v>
      </c>
      <c r="I238" s="194" t="s">
        <v>391</v>
      </c>
      <c r="J238" s="194" t="s">
        <v>331</v>
      </c>
      <c r="K238" s="197"/>
      <c r="L238" s="197"/>
      <c r="M238" s="194" t="s">
        <v>2956</v>
      </c>
    </row>
    <row r="239" spans="1:13" ht="26.25">
      <c r="A239" s="194">
        <v>261</v>
      </c>
      <c r="B239" s="194" t="s">
        <v>3243</v>
      </c>
      <c r="C239" s="194" t="s">
        <v>2969</v>
      </c>
      <c r="D239" s="194" t="s">
        <v>343</v>
      </c>
      <c r="E239" s="194">
        <v>15</v>
      </c>
      <c r="F239" s="194" t="s">
        <v>3193</v>
      </c>
      <c r="G239" s="194" t="s">
        <v>3194</v>
      </c>
      <c r="H239" s="195">
        <v>164.85</v>
      </c>
      <c r="I239" s="194" t="s">
        <v>391</v>
      </c>
      <c r="J239" s="194" t="s">
        <v>331</v>
      </c>
      <c r="K239" s="197"/>
      <c r="L239" s="197"/>
      <c r="M239" s="194" t="s">
        <v>2956</v>
      </c>
    </row>
    <row r="240" spans="1:13" ht="26.25">
      <c r="A240" s="194">
        <v>262</v>
      </c>
      <c r="B240" s="194" t="s">
        <v>3244</v>
      </c>
      <c r="C240" s="194" t="s">
        <v>2969</v>
      </c>
      <c r="D240" s="194" t="s">
        <v>343</v>
      </c>
      <c r="E240" s="194">
        <v>15</v>
      </c>
      <c r="F240" s="194" t="s">
        <v>3193</v>
      </c>
      <c r="G240" s="194" t="s">
        <v>3194</v>
      </c>
      <c r="H240" s="195">
        <v>135</v>
      </c>
      <c r="I240" s="194" t="s">
        <v>391</v>
      </c>
      <c r="J240" s="194" t="s">
        <v>331</v>
      </c>
      <c r="K240" s="197"/>
      <c r="L240" s="197"/>
      <c r="M240" s="194" t="s">
        <v>2956</v>
      </c>
    </row>
    <row r="241" spans="1:13" ht="26.25">
      <c r="A241" s="194">
        <v>263</v>
      </c>
      <c r="B241" s="194" t="s">
        <v>3245</v>
      </c>
      <c r="C241" s="194" t="s">
        <v>2969</v>
      </c>
      <c r="D241" s="194" t="s">
        <v>343</v>
      </c>
      <c r="E241" s="194">
        <v>150</v>
      </c>
      <c r="F241" s="194" t="s">
        <v>33</v>
      </c>
      <c r="G241" s="194" t="s">
        <v>3194</v>
      </c>
      <c r="H241" s="195">
        <v>1348.5</v>
      </c>
      <c r="I241" s="194" t="s">
        <v>391</v>
      </c>
      <c r="J241" s="194" t="s">
        <v>331</v>
      </c>
      <c r="K241" s="197"/>
      <c r="L241" s="197"/>
      <c r="M241" s="194" t="s">
        <v>2956</v>
      </c>
    </row>
    <row r="242" spans="1:13" ht="26.25">
      <c r="A242" s="194">
        <v>264</v>
      </c>
      <c r="B242" s="194" t="s">
        <v>3246</v>
      </c>
      <c r="C242" s="194" t="s">
        <v>2969</v>
      </c>
      <c r="D242" s="194" t="s">
        <v>343</v>
      </c>
      <c r="E242" s="194">
        <v>3</v>
      </c>
      <c r="F242" s="194" t="s">
        <v>58</v>
      </c>
      <c r="G242" s="194" t="s">
        <v>3194</v>
      </c>
      <c r="H242" s="195">
        <v>129</v>
      </c>
      <c r="I242" s="194" t="s">
        <v>391</v>
      </c>
      <c r="J242" s="194" t="s">
        <v>331</v>
      </c>
      <c r="K242" s="197"/>
      <c r="L242" s="197"/>
      <c r="M242" s="194" t="s">
        <v>2956</v>
      </c>
    </row>
    <row r="243" spans="1:13" ht="26.25">
      <c r="A243" s="194">
        <v>265</v>
      </c>
      <c r="B243" s="194" t="s">
        <v>3247</v>
      </c>
      <c r="C243" s="194" t="s">
        <v>2969</v>
      </c>
      <c r="D243" s="194" t="s">
        <v>343</v>
      </c>
      <c r="E243" s="194">
        <v>40</v>
      </c>
      <c r="F243" s="194" t="s">
        <v>3193</v>
      </c>
      <c r="G243" s="194" t="s">
        <v>3194</v>
      </c>
      <c r="H243" s="195">
        <v>960</v>
      </c>
      <c r="I243" s="194" t="s">
        <v>391</v>
      </c>
      <c r="J243" s="194" t="s">
        <v>331</v>
      </c>
      <c r="K243" s="197"/>
      <c r="L243" s="197"/>
      <c r="M243" s="194" t="s">
        <v>2956</v>
      </c>
    </row>
    <row r="244" spans="1:13" ht="26.25">
      <c r="A244" s="194">
        <v>266</v>
      </c>
      <c r="B244" s="194" t="s">
        <v>3248</v>
      </c>
      <c r="C244" s="194" t="s">
        <v>2969</v>
      </c>
      <c r="D244" s="194" t="s">
        <v>343</v>
      </c>
      <c r="E244" s="194">
        <v>15</v>
      </c>
      <c r="F244" s="194" t="s">
        <v>3239</v>
      </c>
      <c r="G244" s="194" t="s">
        <v>3194</v>
      </c>
      <c r="H244" s="195">
        <v>62.85</v>
      </c>
      <c r="I244" s="194" t="s">
        <v>391</v>
      </c>
      <c r="J244" s="194" t="s">
        <v>331</v>
      </c>
      <c r="K244" s="197"/>
      <c r="L244" s="197"/>
      <c r="M244" s="194" t="s">
        <v>2956</v>
      </c>
    </row>
    <row r="245" spans="1:13" ht="26.25">
      <c r="A245" s="194">
        <v>267</v>
      </c>
      <c r="B245" s="194" t="s">
        <v>3249</v>
      </c>
      <c r="C245" s="194" t="s">
        <v>2969</v>
      </c>
      <c r="D245" s="194" t="s">
        <v>343</v>
      </c>
      <c r="E245" s="194">
        <v>30</v>
      </c>
      <c r="F245" s="194" t="s">
        <v>33</v>
      </c>
      <c r="G245" s="194" t="s">
        <v>3194</v>
      </c>
      <c r="H245" s="195">
        <v>70.5</v>
      </c>
      <c r="I245" s="194" t="s">
        <v>391</v>
      </c>
      <c r="J245" s="194" t="s">
        <v>331</v>
      </c>
      <c r="K245" s="197"/>
      <c r="L245" s="197"/>
      <c r="M245" s="194" t="s">
        <v>2956</v>
      </c>
    </row>
    <row r="246" spans="1:13" ht="26.25">
      <c r="A246" s="194">
        <v>269</v>
      </c>
      <c r="B246" s="194" t="s">
        <v>3250</v>
      </c>
      <c r="C246" s="194" t="s">
        <v>2969</v>
      </c>
      <c r="D246" s="194" t="s">
        <v>343</v>
      </c>
      <c r="E246" s="194">
        <v>60</v>
      </c>
      <c r="F246" s="194" t="s">
        <v>33</v>
      </c>
      <c r="G246" s="194" t="s">
        <v>3194</v>
      </c>
      <c r="H246" s="195">
        <v>395.4</v>
      </c>
      <c r="I246" s="194" t="s">
        <v>391</v>
      </c>
      <c r="J246" s="194" t="s">
        <v>331</v>
      </c>
      <c r="K246" s="197"/>
      <c r="L246" s="197"/>
      <c r="M246" s="194" t="s">
        <v>2956</v>
      </c>
    </row>
    <row r="247" spans="1:13" ht="26.25">
      <c r="A247" s="194">
        <v>270</v>
      </c>
      <c r="B247" s="194" t="s">
        <v>3251</v>
      </c>
      <c r="C247" s="194" t="s">
        <v>2969</v>
      </c>
      <c r="D247" s="194" t="s">
        <v>343</v>
      </c>
      <c r="E247" s="194">
        <v>4</v>
      </c>
      <c r="F247" s="194" t="s">
        <v>52</v>
      </c>
      <c r="G247" s="194" t="s">
        <v>3194</v>
      </c>
      <c r="H247" s="195">
        <v>119</v>
      </c>
      <c r="I247" s="194" t="s">
        <v>391</v>
      </c>
      <c r="J247" s="194" t="s">
        <v>331</v>
      </c>
      <c r="K247" s="197"/>
      <c r="L247" s="197"/>
      <c r="M247" s="194" t="s">
        <v>2956</v>
      </c>
    </row>
    <row r="248" spans="1:13" ht="26.25">
      <c r="A248" s="194">
        <v>271</v>
      </c>
      <c r="B248" s="194" t="s">
        <v>3252</v>
      </c>
      <c r="C248" s="194" t="s">
        <v>2969</v>
      </c>
      <c r="D248" s="194" t="s">
        <v>343</v>
      </c>
      <c r="E248" s="194">
        <v>150</v>
      </c>
      <c r="F248" s="194" t="s">
        <v>3023</v>
      </c>
      <c r="G248" s="194" t="s">
        <v>3194</v>
      </c>
      <c r="H248" s="195">
        <v>1635</v>
      </c>
      <c r="I248" s="194" t="s">
        <v>391</v>
      </c>
      <c r="J248" s="194" t="s">
        <v>331</v>
      </c>
      <c r="K248" s="197"/>
      <c r="L248" s="197"/>
      <c r="M248" s="194" t="s">
        <v>2956</v>
      </c>
    </row>
    <row r="249" spans="1:13" ht="26.25">
      <c r="A249" s="194">
        <v>272</v>
      </c>
      <c r="B249" s="194" t="s">
        <v>3253</v>
      </c>
      <c r="C249" s="194" t="s">
        <v>2969</v>
      </c>
      <c r="D249" s="194" t="s">
        <v>343</v>
      </c>
      <c r="E249" s="194">
        <v>20</v>
      </c>
      <c r="F249" s="194" t="s">
        <v>52</v>
      </c>
      <c r="G249" s="194" t="s">
        <v>3194</v>
      </c>
      <c r="H249" s="195">
        <v>538</v>
      </c>
      <c r="I249" s="194" t="s">
        <v>391</v>
      </c>
      <c r="J249" s="194" t="s">
        <v>331</v>
      </c>
      <c r="K249" s="197"/>
      <c r="L249" s="197"/>
      <c r="M249" s="194" t="s">
        <v>2956</v>
      </c>
    </row>
    <row r="250" spans="1:13" ht="26.25">
      <c r="A250" s="194">
        <v>273</v>
      </c>
      <c r="B250" s="194" t="s">
        <v>3254</v>
      </c>
      <c r="C250" s="194" t="s">
        <v>2969</v>
      </c>
      <c r="D250" s="194" t="s">
        <v>343</v>
      </c>
      <c r="E250" s="194">
        <v>10</v>
      </c>
      <c r="F250" s="194" t="s">
        <v>52</v>
      </c>
      <c r="G250" s="194" t="s">
        <v>3194</v>
      </c>
      <c r="H250" s="195">
        <v>69</v>
      </c>
      <c r="I250" s="194" t="s">
        <v>391</v>
      </c>
      <c r="J250" s="194" t="s">
        <v>331</v>
      </c>
      <c r="K250" s="197"/>
      <c r="L250" s="197"/>
      <c r="M250" s="194" t="s">
        <v>2956</v>
      </c>
    </row>
    <row r="251" spans="1:13" ht="26.25">
      <c r="A251" s="194">
        <v>274</v>
      </c>
      <c r="B251" s="194" t="s">
        <v>3255</v>
      </c>
      <c r="C251" s="194" t="s">
        <v>2969</v>
      </c>
      <c r="D251" s="194" t="s">
        <v>343</v>
      </c>
      <c r="E251" s="194">
        <v>20</v>
      </c>
      <c r="F251" s="194" t="s">
        <v>52</v>
      </c>
      <c r="G251" s="194" t="s">
        <v>3194</v>
      </c>
      <c r="H251" s="195">
        <v>429.3</v>
      </c>
      <c r="I251" s="194" t="s">
        <v>391</v>
      </c>
      <c r="J251" s="194" t="s">
        <v>331</v>
      </c>
      <c r="K251" s="197"/>
      <c r="L251" s="197"/>
      <c r="M251" s="194" t="s">
        <v>2956</v>
      </c>
    </row>
    <row r="252" spans="1:13" ht="26.25">
      <c r="A252" s="194">
        <v>275</v>
      </c>
      <c r="B252" s="194" t="s">
        <v>3256</v>
      </c>
      <c r="C252" s="194" t="s">
        <v>2969</v>
      </c>
      <c r="D252" s="194" t="s">
        <v>343</v>
      </c>
      <c r="E252" s="194">
        <v>70</v>
      </c>
      <c r="F252" s="194" t="s">
        <v>3193</v>
      </c>
      <c r="G252" s="194" t="s">
        <v>3194</v>
      </c>
      <c r="H252" s="195">
        <v>909.3</v>
      </c>
      <c r="I252" s="194" t="s">
        <v>391</v>
      </c>
      <c r="J252" s="194" t="s">
        <v>331</v>
      </c>
      <c r="K252" s="197"/>
      <c r="L252" s="197"/>
      <c r="M252" s="194" t="s">
        <v>2956</v>
      </c>
    </row>
    <row r="253" spans="1:13" ht="26.25">
      <c r="A253" s="194">
        <v>276</v>
      </c>
      <c r="B253" s="194" t="s">
        <v>3257</v>
      </c>
      <c r="C253" s="194" t="s">
        <v>2969</v>
      </c>
      <c r="D253" s="194" t="s">
        <v>343</v>
      </c>
      <c r="E253" s="194">
        <v>15</v>
      </c>
      <c r="F253" s="194" t="s">
        <v>3193</v>
      </c>
      <c r="G253" s="194" t="s">
        <v>3194</v>
      </c>
      <c r="H253" s="195">
        <v>210</v>
      </c>
      <c r="I253" s="194" t="s">
        <v>391</v>
      </c>
      <c r="J253" s="194" t="s">
        <v>331</v>
      </c>
      <c r="K253" s="197"/>
      <c r="L253" s="197"/>
      <c r="M253" s="194" t="s">
        <v>2956</v>
      </c>
    </row>
    <row r="254" spans="1:13" ht="26.25">
      <c r="A254" s="194">
        <v>277</v>
      </c>
      <c r="B254" s="194" t="s">
        <v>3258</v>
      </c>
      <c r="C254" s="194" t="s">
        <v>2969</v>
      </c>
      <c r="D254" s="194" t="s">
        <v>343</v>
      </c>
      <c r="E254" s="194">
        <v>100</v>
      </c>
      <c r="F254" s="194" t="s">
        <v>89</v>
      </c>
      <c r="G254" s="194" t="s">
        <v>3194</v>
      </c>
      <c r="H254" s="195">
        <v>419</v>
      </c>
      <c r="I254" s="194" t="s">
        <v>391</v>
      </c>
      <c r="J254" s="194" t="s">
        <v>331</v>
      </c>
      <c r="K254" s="197"/>
      <c r="L254" s="197"/>
      <c r="M254" s="194" t="s">
        <v>2956</v>
      </c>
    </row>
    <row r="255" spans="1:13" ht="26.25">
      <c r="A255" s="194">
        <v>278</v>
      </c>
      <c r="B255" s="194" t="s">
        <v>3259</v>
      </c>
      <c r="C255" s="194" t="s">
        <v>2969</v>
      </c>
      <c r="D255" s="194" t="s">
        <v>343</v>
      </c>
      <c r="E255" s="194">
        <v>20</v>
      </c>
      <c r="F255" s="194" t="s">
        <v>3193</v>
      </c>
      <c r="G255" s="194" t="s">
        <v>3194</v>
      </c>
      <c r="H255" s="195">
        <v>440.2</v>
      </c>
      <c r="I255" s="194" t="s">
        <v>391</v>
      </c>
      <c r="J255" s="194" t="s">
        <v>331</v>
      </c>
      <c r="K255" s="197"/>
      <c r="L255" s="197"/>
      <c r="M255" s="194" t="s">
        <v>2956</v>
      </c>
    </row>
    <row r="256" spans="1:13" ht="26.25">
      <c r="A256" s="194">
        <v>279</v>
      </c>
      <c r="B256" s="194" t="s">
        <v>3260</v>
      </c>
      <c r="C256" s="194" t="s">
        <v>2969</v>
      </c>
      <c r="D256" s="194" t="s">
        <v>343</v>
      </c>
      <c r="E256" s="194">
        <v>15</v>
      </c>
      <c r="F256" s="194" t="s">
        <v>3193</v>
      </c>
      <c r="G256" s="194" t="s">
        <v>3194</v>
      </c>
      <c r="H256" s="195">
        <v>419.7</v>
      </c>
      <c r="I256" s="194" t="s">
        <v>391</v>
      </c>
      <c r="J256" s="194" t="s">
        <v>331</v>
      </c>
      <c r="K256" s="197"/>
      <c r="L256" s="197"/>
      <c r="M256" s="194" t="s">
        <v>2956</v>
      </c>
    </row>
    <row r="257" spans="1:13" ht="26.25">
      <c r="A257" s="194">
        <v>280</v>
      </c>
      <c r="B257" s="194" t="s">
        <v>3261</v>
      </c>
      <c r="C257" s="194" t="s">
        <v>2969</v>
      </c>
      <c r="D257" s="194" t="s">
        <v>343</v>
      </c>
      <c r="E257" s="194">
        <v>20</v>
      </c>
      <c r="F257" s="194" t="s">
        <v>3193</v>
      </c>
      <c r="G257" s="194" t="s">
        <v>3194</v>
      </c>
      <c r="H257" s="195">
        <v>938</v>
      </c>
      <c r="I257" s="194" t="s">
        <v>391</v>
      </c>
      <c r="J257" s="194" t="s">
        <v>331</v>
      </c>
      <c r="K257" s="197"/>
      <c r="L257" s="197"/>
      <c r="M257" s="194" t="s">
        <v>2956</v>
      </c>
    </row>
    <row r="258" spans="1:13" ht="26.25">
      <c r="A258" s="194">
        <v>282</v>
      </c>
      <c r="B258" s="194" t="s">
        <v>3262</v>
      </c>
      <c r="C258" s="194" t="s">
        <v>2969</v>
      </c>
      <c r="D258" s="194" t="s">
        <v>343</v>
      </c>
      <c r="E258" s="194">
        <v>29</v>
      </c>
      <c r="F258" s="194" t="s">
        <v>3193</v>
      </c>
      <c r="G258" s="194" t="s">
        <v>3194</v>
      </c>
      <c r="H258" s="195">
        <v>1382.72</v>
      </c>
      <c r="I258" s="194" t="s">
        <v>391</v>
      </c>
      <c r="J258" s="194" t="s">
        <v>331</v>
      </c>
      <c r="K258" s="197"/>
      <c r="L258" s="197"/>
      <c r="M258" s="194" t="s">
        <v>2956</v>
      </c>
    </row>
    <row r="259" spans="1:13" ht="26.25">
      <c r="A259" s="194">
        <v>283</v>
      </c>
      <c r="B259" s="194" t="s">
        <v>3263</v>
      </c>
      <c r="C259" s="194" t="s">
        <v>2969</v>
      </c>
      <c r="D259" s="194" t="s">
        <v>343</v>
      </c>
      <c r="E259" s="194">
        <v>120</v>
      </c>
      <c r="F259" s="194" t="s">
        <v>3264</v>
      </c>
      <c r="G259" s="194" t="s">
        <v>3194</v>
      </c>
      <c r="H259" s="195">
        <v>1996</v>
      </c>
      <c r="I259" s="194" t="s">
        <v>391</v>
      </c>
      <c r="J259" s="194" t="s">
        <v>331</v>
      </c>
      <c r="K259" s="197"/>
      <c r="L259" s="197"/>
      <c r="M259" s="194" t="s">
        <v>2956</v>
      </c>
    </row>
    <row r="260" spans="1:13" ht="26.25">
      <c r="A260" s="194">
        <v>284</v>
      </c>
      <c r="B260" s="194" t="s">
        <v>3265</v>
      </c>
      <c r="C260" s="194" t="s">
        <v>2969</v>
      </c>
      <c r="D260" s="194" t="s">
        <v>343</v>
      </c>
      <c r="E260" s="194">
        <v>10</v>
      </c>
      <c r="F260" s="194" t="s">
        <v>52</v>
      </c>
      <c r="G260" s="194" t="s">
        <v>3194</v>
      </c>
      <c r="H260" s="195">
        <v>419.9</v>
      </c>
      <c r="I260" s="194" t="s">
        <v>391</v>
      </c>
      <c r="J260" s="194" t="s">
        <v>331</v>
      </c>
      <c r="K260" s="197"/>
      <c r="L260" s="197"/>
      <c r="M260" s="194" t="s">
        <v>2956</v>
      </c>
    </row>
    <row r="261" spans="1:13" ht="26.25">
      <c r="A261" s="194">
        <v>285</v>
      </c>
      <c r="B261" s="194" t="s">
        <v>3266</v>
      </c>
      <c r="C261" s="194" t="s">
        <v>2969</v>
      </c>
      <c r="D261" s="194" t="s">
        <v>343</v>
      </c>
      <c r="E261" s="194">
        <v>4</v>
      </c>
      <c r="F261" s="194" t="s">
        <v>3193</v>
      </c>
      <c r="G261" s="194" t="s">
        <v>3194</v>
      </c>
      <c r="H261" s="195">
        <v>9.16</v>
      </c>
      <c r="I261" s="194" t="s">
        <v>391</v>
      </c>
      <c r="J261" s="194" t="s">
        <v>331</v>
      </c>
      <c r="K261" s="197"/>
      <c r="L261" s="197"/>
      <c r="M261" s="194" t="s">
        <v>2956</v>
      </c>
    </row>
    <row r="262" spans="1:13" ht="26.25">
      <c r="A262" s="194">
        <v>286</v>
      </c>
      <c r="B262" s="194" t="s">
        <v>3267</v>
      </c>
      <c r="C262" s="194" t="s">
        <v>2969</v>
      </c>
      <c r="D262" s="194" t="s">
        <v>343</v>
      </c>
      <c r="E262" s="194">
        <v>10</v>
      </c>
      <c r="F262" s="194" t="s">
        <v>52</v>
      </c>
      <c r="G262" s="194" t="s">
        <v>3194</v>
      </c>
      <c r="H262" s="195">
        <v>416.5</v>
      </c>
      <c r="I262" s="194" t="s">
        <v>391</v>
      </c>
      <c r="J262" s="194" t="s">
        <v>331</v>
      </c>
      <c r="K262" s="197"/>
      <c r="L262" s="197"/>
      <c r="M262" s="194" t="s">
        <v>2956</v>
      </c>
    </row>
    <row r="263" spans="1:13" ht="26.25">
      <c r="A263" s="194">
        <v>287</v>
      </c>
      <c r="B263" s="194" t="s">
        <v>3268</v>
      </c>
      <c r="C263" s="194" t="s">
        <v>2969</v>
      </c>
      <c r="D263" s="194" t="s">
        <v>343</v>
      </c>
      <c r="E263" s="194">
        <v>120</v>
      </c>
      <c r="F263" s="194" t="s">
        <v>57</v>
      </c>
      <c r="G263" s="194" t="s">
        <v>3194</v>
      </c>
      <c r="H263" s="195">
        <v>578.4</v>
      </c>
      <c r="I263" s="194" t="s">
        <v>391</v>
      </c>
      <c r="J263" s="194" t="s">
        <v>331</v>
      </c>
      <c r="K263" s="197"/>
      <c r="L263" s="197"/>
      <c r="M263" s="194" t="s">
        <v>2956</v>
      </c>
    </row>
    <row r="264" spans="1:13" ht="26.25">
      <c r="A264" s="194">
        <v>288</v>
      </c>
      <c r="B264" s="194" t="s">
        <v>3269</v>
      </c>
      <c r="C264" s="194" t="s">
        <v>2969</v>
      </c>
      <c r="D264" s="194" t="s">
        <v>343</v>
      </c>
      <c r="E264" s="194">
        <v>400</v>
      </c>
      <c r="F264" s="194" t="s">
        <v>33</v>
      </c>
      <c r="G264" s="194" t="s">
        <v>3194</v>
      </c>
      <c r="H264" s="195">
        <v>356</v>
      </c>
      <c r="I264" s="194" t="s">
        <v>391</v>
      </c>
      <c r="J264" s="194" t="s">
        <v>331</v>
      </c>
      <c r="K264" s="197"/>
      <c r="L264" s="197"/>
      <c r="M264" s="194" t="s">
        <v>2956</v>
      </c>
    </row>
    <row r="265" spans="1:13" ht="26.25">
      <c r="A265" s="194">
        <v>289</v>
      </c>
      <c r="B265" s="194" t="s">
        <v>3270</v>
      </c>
      <c r="C265" s="194" t="s">
        <v>2969</v>
      </c>
      <c r="D265" s="194" t="s">
        <v>343</v>
      </c>
      <c r="E265" s="194">
        <v>50</v>
      </c>
      <c r="F265" s="194" t="s">
        <v>3193</v>
      </c>
      <c r="G265" s="194" t="s">
        <v>3194</v>
      </c>
      <c r="H265" s="195">
        <v>484.5</v>
      </c>
      <c r="I265" s="194" t="s">
        <v>391</v>
      </c>
      <c r="J265" s="194" t="s">
        <v>331</v>
      </c>
      <c r="K265" s="197"/>
      <c r="L265" s="197"/>
      <c r="M265" s="194" t="s">
        <v>2956</v>
      </c>
    </row>
    <row r="266" spans="1:13" ht="26.25">
      <c r="A266" s="194">
        <v>290</v>
      </c>
      <c r="B266" s="194" t="s">
        <v>3271</v>
      </c>
      <c r="C266" s="194" t="s">
        <v>2969</v>
      </c>
      <c r="D266" s="194" t="s">
        <v>343</v>
      </c>
      <c r="E266" s="194">
        <v>15</v>
      </c>
      <c r="F266" s="194" t="s">
        <v>3193</v>
      </c>
      <c r="G266" s="194" t="s">
        <v>3194</v>
      </c>
      <c r="H266" s="195">
        <v>165</v>
      </c>
      <c r="I266" s="194" t="s">
        <v>391</v>
      </c>
      <c r="J266" s="194" t="s">
        <v>331</v>
      </c>
      <c r="K266" s="197"/>
      <c r="L266" s="197"/>
      <c r="M266" s="194" t="s">
        <v>2956</v>
      </c>
    </row>
    <row r="267" spans="1:13" ht="51.75">
      <c r="A267" s="194">
        <v>291</v>
      </c>
      <c r="B267" s="194" t="s">
        <v>3272</v>
      </c>
      <c r="C267" s="194" t="s">
        <v>347</v>
      </c>
      <c r="D267" s="194" t="s">
        <v>2953</v>
      </c>
      <c r="E267" s="194">
        <v>12</v>
      </c>
      <c r="F267" s="194" t="s">
        <v>3273</v>
      </c>
      <c r="G267" s="194" t="s">
        <v>3274</v>
      </c>
      <c r="H267" s="195">
        <v>33600</v>
      </c>
      <c r="I267" s="194" t="s">
        <v>758</v>
      </c>
      <c r="J267" s="194" t="s">
        <v>331</v>
      </c>
      <c r="K267" s="196">
        <v>45517</v>
      </c>
      <c r="L267" s="194" t="s">
        <v>3275</v>
      </c>
      <c r="M267" s="194" t="s">
        <v>2956</v>
      </c>
    </row>
    <row r="268" spans="1:13" ht="51.75">
      <c r="A268" s="194">
        <v>292</v>
      </c>
      <c r="B268" s="194" t="s">
        <v>3276</v>
      </c>
      <c r="C268" s="194" t="s">
        <v>347</v>
      </c>
      <c r="D268" s="194" t="s">
        <v>2953</v>
      </c>
      <c r="E268" s="194">
        <v>12</v>
      </c>
      <c r="F268" s="194" t="s">
        <v>3273</v>
      </c>
      <c r="G268" s="194" t="s">
        <v>3274</v>
      </c>
      <c r="H268" s="195">
        <v>31479.48</v>
      </c>
      <c r="I268" s="194" t="s">
        <v>391</v>
      </c>
      <c r="J268" s="194" t="s">
        <v>331</v>
      </c>
      <c r="K268" s="196">
        <v>45505</v>
      </c>
      <c r="L268" s="194" t="s">
        <v>3277</v>
      </c>
      <c r="M268" s="194" t="s">
        <v>2956</v>
      </c>
    </row>
    <row r="269" spans="1:13" ht="26.25">
      <c r="A269" s="194">
        <v>293</v>
      </c>
      <c r="B269" s="194" t="s">
        <v>3278</v>
      </c>
      <c r="C269" s="194" t="s">
        <v>347</v>
      </c>
      <c r="D269" s="194" t="s">
        <v>2953</v>
      </c>
      <c r="E269" s="194">
        <v>12</v>
      </c>
      <c r="F269" s="194" t="s">
        <v>3273</v>
      </c>
      <c r="G269" s="194" t="s">
        <v>3274</v>
      </c>
      <c r="H269" s="195">
        <v>54000</v>
      </c>
      <c r="I269" s="194" t="s">
        <v>391</v>
      </c>
      <c r="J269" s="194" t="s">
        <v>331</v>
      </c>
      <c r="K269" s="196">
        <v>45536</v>
      </c>
      <c r="L269" s="197"/>
      <c r="M269" s="194" t="s">
        <v>2956</v>
      </c>
    </row>
    <row r="270" spans="1:13" ht="51.75">
      <c r="A270" s="194">
        <v>294</v>
      </c>
      <c r="B270" s="194" t="s">
        <v>3279</v>
      </c>
      <c r="C270" s="194" t="s">
        <v>347</v>
      </c>
      <c r="D270" s="194" t="s">
        <v>2953</v>
      </c>
      <c r="E270" s="194">
        <v>12</v>
      </c>
      <c r="F270" s="194" t="s">
        <v>3273</v>
      </c>
      <c r="G270" s="194" t="s">
        <v>3274</v>
      </c>
      <c r="H270" s="195">
        <v>30600</v>
      </c>
      <c r="I270" s="194" t="s">
        <v>391</v>
      </c>
      <c r="J270" s="194" t="s">
        <v>331</v>
      </c>
      <c r="K270" s="196">
        <v>45490</v>
      </c>
      <c r="L270" s="194" t="s">
        <v>3280</v>
      </c>
      <c r="M270" s="194" t="s">
        <v>2956</v>
      </c>
    </row>
    <row r="271" spans="1:13" ht="51.75">
      <c r="A271" s="194">
        <v>295</v>
      </c>
      <c r="B271" s="194" t="s">
        <v>3281</v>
      </c>
      <c r="C271" s="194" t="s">
        <v>347</v>
      </c>
      <c r="D271" s="194" t="s">
        <v>2953</v>
      </c>
      <c r="E271" s="194">
        <v>12</v>
      </c>
      <c r="F271" s="194" t="s">
        <v>3273</v>
      </c>
      <c r="G271" s="194" t="s">
        <v>3274</v>
      </c>
      <c r="H271" s="195">
        <v>30000</v>
      </c>
      <c r="I271" s="194" t="s">
        <v>758</v>
      </c>
      <c r="J271" s="194" t="s">
        <v>331</v>
      </c>
      <c r="K271" s="196">
        <v>45430</v>
      </c>
      <c r="L271" s="194" t="s">
        <v>3282</v>
      </c>
      <c r="M271" s="194" t="s">
        <v>2956</v>
      </c>
    </row>
    <row r="272" spans="1:13" ht="26.25">
      <c r="A272" s="194">
        <v>296</v>
      </c>
      <c r="B272" s="194" t="s">
        <v>3283</v>
      </c>
      <c r="C272" s="194" t="s">
        <v>347</v>
      </c>
      <c r="D272" s="194" t="s">
        <v>343</v>
      </c>
      <c r="E272" s="194">
        <v>4</v>
      </c>
      <c r="F272" s="194" t="s">
        <v>2052</v>
      </c>
      <c r="G272" s="194" t="s">
        <v>3284</v>
      </c>
      <c r="H272" s="195">
        <v>400000</v>
      </c>
      <c r="I272" s="194" t="s">
        <v>391</v>
      </c>
      <c r="J272" s="194" t="s">
        <v>2994</v>
      </c>
      <c r="K272" s="196">
        <v>45323</v>
      </c>
      <c r="L272" s="197"/>
      <c r="M272" s="194" t="s">
        <v>2956</v>
      </c>
    </row>
    <row r="273" spans="1:13" ht="39">
      <c r="A273" s="194">
        <v>297</v>
      </c>
      <c r="B273" s="194" t="s">
        <v>3285</v>
      </c>
      <c r="C273" s="194" t="s">
        <v>347</v>
      </c>
      <c r="D273" s="194" t="s">
        <v>343</v>
      </c>
      <c r="E273" s="194">
        <v>4</v>
      </c>
      <c r="F273" s="194" t="s">
        <v>2052</v>
      </c>
      <c r="G273" s="194" t="s">
        <v>3284</v>
      </c>
      <c r="H273" s="195">
        <v>300000</v>
      </c>
      <c r="I273" s="194" t="s">
        <v>391</v>
      </c>
      <c r="J273" s="194" t="s">
        <v>2994</v>
      </c>
      <c r="K273" s="196">
        <v>45323</v>
      </c>
      <c r="L273" s="197"/>
      <c r="M273" s="194" t="s">
        <v>2956</v>
      </c>
    </row>
    <row r="274" spans="1:13" ht="26.25">
      <c r="A274" s="194">
        <v>298</v>
      </c>
      <c r="B274" s="194" t="s">
        <v>3286</v>
      </c>
      <c r="C274" s="194" t="s">
        <v>347</v>
      </c>
      <c r="D274" s="194" t="s">
        <v>343</v>
      </c>
      <c r="E274" s="194">
        <v>4</v>
      </c>
      <c r="F274" s="194" t="s">
        <v>2052</v>
      </c>
      <c r="G274" s="194" t="s">
        <v>3284</v>
      </c>
      <c r="H274" s="195">
        <v>300000</v>
      </c>
      <c r="I274" s="194" t="s">
        <v>391</v>
      </c>
      <c r="J274" s="194" t="s">
        <v>2994</v>
      </c>
      <c r="K274" s="196">
        <v>45323</v>
      </c>
      <c r="L274" s="197"/>
      <c r="M274" s="194" t="s">
        <v>2956</v>
      </c>
    </row>
    <row r="275" spans="1:13" ht="26.25">
      <c r="A275" s="194">
        <v>300</v>
      </c>
      <c r="B275" s="194" t="s">
        <v>3287</v>
      </c>
      <c r="C275" s="194" t="s">
        <v>2969</v>
      </c>
      <c r="D275" s="194" t="s">
        <v>343</v>
      </c>
      <c r="E275" s="194">
        <v>600</v>
      </c>
      <c r="F275" s="194" t="s">
        <v>255</v>
      </c>
      <c r="G275" s="194" t="s">
        <v>3288</v>
      </c>
      <c r="H275" s="195">
        <v>11940</v>
      </c>
      <c r="I275" s="194" t="s">
        <v>391</v>
      </c>
      <c r="J275" s="194" t="s">
        <v>331</v>
      </c>
      <c r="K275" s="196">
        <v>45505</v>
      </c>
      <c r="L275" s="197"/>
      <c r="M275" s="194" t="s">
        <v>2956</v>
      </c>
    </row>
    <row r="276" spans="1:13" ht="26.25">
      <c r="A276" s="194">
        <v>301</v>
      </c>
      <c r="B276" s="194" t="s">
        <v>3289</v>
      </c>
      <c r="C276" s="194" t="s">
        <v>2969</v>
      </c>
      <c r="D276" s="194" t="s">
        <v>343</v>
      </c>
      <c r="E276" s="194">
        <v>100</v>
      </c>
      <c r="F276" s="194" t="s">
        <v>890</v>
      </c>
      <c r="G276" s="194" t="s">
        <v>3288</v>
      </c>
      <c r="H276" s="195">
        <v>990</v>
      </c>
      <c r="I276" s="194" t="s">
        <v>391</v>
      </c>
      <c r="J276" s="194" t="s">
        <v>331</v>
      </c>
      <c r="K276" s="196">
        <v>45506</v>
      </c>
      <c r="L276" s="197"/>
      <c r="M276" s="194" t="s">
        <v>2956</v>
      </c>
    </row>
    <row r="277" spans="1:13" ht="26.25">
      <c r="A277" s="194">
        <v>302</v>
      </c>
      <c r="B277" s="194" t="s">
        <v>3290</v>
      </c>
      <c r="C277" s="194" t="s">
        <v>2969</v>
      </c>
      <c r="D277" s="194" t="s">
        <v>343</v>
      </c>
      <c r="E277" s="194">
        <v>100</v>
      </c>
      <c r="F277" s="194" t="s">
        <v>890</v>
      </c>
      <c r="G277" s="194" t="s">
        <v>3288</v>
      </c>
      <c r="H277" s="195">
        <v>1071</v>
      </c>
      <c r="I277" s="194" t="s">
        <v>391</v>
      </c>
      <c r="J277" s="194" t="s">
        <v>331</v>
      </c>
      <c r="K277" s="196">
        <v>45507</v>
      </c>
      <c r="L277" s="197"/>
      <c r="M277" s="194" t="s">
        <v>2956</v>
      </c>
    </row>
    <row r="278" spans="1:13" ht="26.25">
      <c r="A278" s="194">
        <v>303</v>
      </c>
      <c r="B278" s="194" t="s">
        <v>3291</v>
      </c>
      <c r="C278" s="194" t="s">
        <v>2969</v>
      </c>
      <c r="D278" s="194" t="s">
        <v>343</v>
      </c>
      <c r="E278" s="194">
        <v>600</v>
      </c>
      <c r="F278" s="194" t="s">
        <v>885</v>
      </c>
      <c r="G278" s="194" t="s">
        <v>3288</v>
      </c>
      <c r="H278" s="195">
        <v>11526</v>
      </c>
      <c r="I278" s="194" t="s">
        <v>391</v>
      </c>
      <c r="J278" s="194" t="s">
        <v>331</v>
      </c>
      <c r="K278" s="196">
        <v>45508</v>
      </c>
      <c r="L278" s="197"/>
      <c r="M278" s="194" t="s">
        <v>2956</v>
      </c>
    </row>
    <row r="279" spans="1:13" ht="26.25">
      <c r="A279" s="194">
        <v>304</v>
      </c>
      <c r="B279" s="194" t="s">
        <v>3292</v>
      </c>
      <c r="C279" s="194" t="s">
        <v>2969</v>
      </c>
      <c r="D279" s="194" t="s">
        <v>343</v>
      </c>
      <c r="E279" s="194">
        <v>200</v>
      </c>
      <c r="F279" s="194" t="s">
        <v>255</v>
      </c>
      <c r="G279" s="194" t="s">
        <v>3288</v>
      </c>
      <c r="H279" s="195">
        <v>9416</v>
      </c>
      <c r="I279" s="194" t="s">
        <v>391</v>
      </c>
      <c r="J279" s="194" t="s">
        <v>331</v>
      </c>
      <c r="K279" s="196">
        <v>45509</v>
      </c>
      <c r="L279" s="197"/>
      <c r="M279" s="194" t="s">
        <v>2956</v>
      </c>
    </row>
    <row r="280" spans="1:13" ht="26.25">
      <c r="A280" s="194">
        <v>305</v>
      </c>
      <c r="B280" s="194" t="s">
        <v>3293</v>
      </c>
      <c r="C280" s="194" t="s">
        <v>2969</v>
      </c>
      <c r="D280" s="194" t="s">
        <v>343</v>
      </c>
      <c r="E280" s="194">
        <v>12000</v>
      </c>
      <c r="F280" s="194" t="s">
        <v>885</v>
      </c>
      <c r="G280" s="194" t="s">
        <v>3288</v>
      </c>
      <c r="H280" s="195">
        <v>16200</v>
      </c>
      <c r="I280" s="194" t="s">
        <v>391</v>
      </c>
      <c r="J280" s="194" t="s">
        <v>331</v>
      </c>
      <c r="K280" s="196">
        <v>45510</v>
      </c>
      <c r="L280" s="197"/>
      <c r="M280" s="194" t="s">
        <v>2956</v>
      </c>
    </row>
    <row r="281" spans="1:13" ht="26.25">
      <c r="A281" s="194">
        <v>306</v>
      </c>
      <c r="B281" s="194" t="s">
        <v>3294</v>
      </c>
      <c r="C281" s="194" t="s">
        <v>2969</v>
      </c>
      <c r="D281" s="194" t="s">
        <v>343</v>
      </c>
      <c r="E281" s="194">
        <v>5</v>
      </c>
      <c r="F281" s="194" t="s">
        <v>885</v>
      </c>
      <c r="G281" s="194" t="s">
        <v>3288</v>
      </c>
      <c r="H281" s="195">
        <v>3738.2</v>
      </c>
      <c r="I281" s="194" t="s">
        <v>391</v>
      </c>
      <c r="J281" s="194" t="s">
        <v>331</v>
      </c>
      <c r="K281" s="196">
        <v>45511</v>
      </c>
      <c r="L281" s="197"/>
      <c r="M281" s="194" t="s">
        <v>2956</v>
      </c>
    </row>
    <row r="282" spans="1:13" ht="26.25">
      <c r="A282" s="194">
        <v>307</v>
      </c>
      <c r="B282" s="194" t="s">
        <v>3295</v>
      </c>
      <c r="C282" s="194" t="s">
        <v>2969</v>
      </c>
      <c r="D282" s="194" t="s">
        <v>343</v>
      </c>
      <c r="E282" s="194">
        <v>1200</v>
      </c>
      <c r="F282" s="194" t="s">
        <v>885</v>
      </c>
      <c r="G282" s="194" t="s">
        <v>3288</v>
      </c>
      <c r="H282" s="195">
        <v>9420</v>
      </c>
      <c r="I282" s="194" t="s">
        <v>391</v>
      </c>
      <c r="J282" s="194" t="s">
        <v>331</v>
      </c>
      <c r="K282" s="196">
        <v>45512</v>
      </c>
      <c r="L282" s="197"/>
      <c r="M282" s="194" t="s">
        <v>2956</v>
      </c>
    </row>
    <row r="283" spans="1:13" ht="26.25">
      <c r="A283" s="194">
        <v>308</v>
      </c>
      <c r="B283" s="194" t="s">
        <v>3296</v>
      </c>
      <c r="C283" s="194" t="s">
        <v>2969</v>
      </c>
      <c r="D283" s="194" t="s">
        <v>343</v>
      </c>
      <c r="E283" s="194">
        <v>1200</v>
      </c>
      <c r="F283" s="194" t="s">
        <v>885</v>
      </c>
      <c r="G283" s="194" t="s">
        <v>3288</v>
      </c>
      <c r="H283" s="195">
        <v>4260</v>
      </c>
      <c r="I283" s="194" t="s">
        <v>391</v>
      </c>
      <c r="J283" s="194" t="s">
        <v>331</v>
      </c>
      <c r="K283" s="196">
        <v>45513</v>
      </c>
      <c r="L283" s="197"/>
      <c r="M283" s="194" t="s">
        <v>2956</v>
      </c>
    </row>
    <row r="284" spans="1:13" ht="26.25">
      <c r="A284" s="194">
        <v>309</v>
      </c>
      <c r="B284" s="194" t="s">
        <v>3297</v>
      </c>
      <c r="C284" s="194" t="s">
        <v>2969</v>
      </c>
      <c r="D284" s="194" t="s">
        <v>343</v>
      </c>
      <c r="E284" s="194">
        <v>5</v>
      </c>
      <c r="F284" s="194" t="s">
        <v>885</v>
      </c>
      <c r="G284" s="194" t="s">
        <v>3288</v>
      </c>
      <c r="H284" s="195">
        <v>4476.8500000000004</v>
      </c>
      <c r="I284" s="194" t="s">
        <v>391</v>
      </c>
      <c r="J284" s="194" t="s">
        <v>331</v>
      </c>
      <c r="K284" s="196">
        <v>45514</v>
      </c>
      <c r="L284" s="197"/>
      <c r="M284" s="194" t="s">
        <v>2956</v>
      </c>
    </row>
    <row r="285" spans="1:13" ht="26.25">
      <c r="A285" s="194">
        <v>310</v>
      </c>
      <c r="B285" s="194" t="s">
        <v>3298</v>
      </c>
      <c r="C285" s="194" t="s">
        <v>2969</v>
      </c>
      <c r="D285" s="194" t="s">
        <v>343</v>
      </c>
      <c r="E285" s="194">
        <v>12</v>
      </c>
      <c r="F285" s="194" t="s">
        <v>885</v>
      </c>
      <c r="G285" s="194" t="s">
        <v>3288</v>
      </c>
      <c r="H285" s="195">
        <v>13971.48</v>
      </c>
      <c r="I285" s="194" t="s">
        <v>391</v>
      </c>
      <c r="J285" s="194" t="s">
        <v>331</v>
      </c>
      <c r="K285" s="196">
        <v>45515</v>
      </c>
      <c r="L285" s="197"/>
      <c r="M285" s="194" t="s">
        <v>2956</v>
      </c>
    </row>
    <row r="286" spans="1:13" ht="26.25">
      <c r="A286" s="194">
        <v>311</v>
      </c>
      <c r="B286" s="194" t="s">
        <v>3299</v>
      </c>
      <c r="C286" s="194" t="s">
        <v>2969</v>
      </c>
      <c r="D286" s="194" t="s">
        <v>343</v>
      </c>
      <c r="E286" s="194">
        <v>50</v>
      </c>
      <c r="F286" s="194" t="s">
        <v>885</v>
      </c>
      <c r="G286" s="194" t="s">
        <v>3288</v>
      </c>
      <c r="H286" s="195">
        <v>2063</v>
      </c>
      <c r="I286" s="194" t="s">
        <v>391</v>
      </c>
      <c r="J286" s="194" t="s">
        <v>331</v>
      </c>
      <c r="K286" s="196">
        <v>45516</v>
      </c>
      <c r="L286" s="197"/>
      <c r="M286" s="194" t="s">
        <v>2956</v>
      </c>
    </row>
    <row r="287" spans="1:13" ht="26.25">
      <c r="A287" s="194">
        <v>312</v>
      </c>
      <c r="B287" s="194" t="s">
        <v>3300</v>
      </c>
      <c r="C287" s="194" t="s">
        <v>2969</v>
      </c>
      <c r="D287" s="194" t="s">
        <v>343</v>
      </c>
      <c r="E287" s="194">
        <v>50</v>
      </c>
      <c r="F287" s="194" t="s">
        <v>885</v>
      </c>
      <c r="G287" s="194" t="s">
        <v>3288</v>
      </c>
      <c r="H287" s="195">
        <v>1866</v>
      </c>
      <c r="I287" s="194" t="s">
        <v>391</v>
      </c>
      <c r="J287" s="194" t="s">
        <v>331</v>
      </c>
      <c r="K287" s="196">
        <v>45517</v>
      </c>
      <c r="L287" s="197"/>
      <c r="M287" s="194" t="s">
        <v>2956</v>
      </c>
    </row>
    <row r="288" spans="1:13" ht="26.25">
      <c r="A288" s="194">
        <v>313</v>
      </c>
      <c r="B288" s="194" t="s">
        <v>3301</v>
      </c>
      <c r="C288" s="194" t="s">
        <v>2969</v>
      </c>
      <c r="D288" s="194" t="s">
        <v>343</v>
      </c>
      <c r="E288" s="194">
        <v>5</v>
      </c>
      <c r="F288" s="194" t="s">
        <v>885</v>
      </c>
      <c r="G288" s="194" t="s">
        <v>3288</v>
      </c>
      <c r="H288" s="195">
        <v>5821.45</v>
      </c>
      <c r="I288" s="194" t="s">
        <v>391</v>
      </c>
      <c r="J288" s="194" t="s">
        <v>331</v>
      </c>
      <c r="K288" s="196">
        <v>45518</v>
      </c>
      <c r="L288" s="197"/>
      <c r="M288" s="194" t="s">
        <v>2956</v>
      </c>
    </row>
    <row r="289" spans="1:13" ht="26.25">
      <c r="A289" s="194">
        <v>314</v>
      </c>
      <c r="B289" s="194" t="s">
        <v>3302</v>
      </c>
      <c r="C289" s="194" t="s">
        <v>2969</v>
      </c>
      <c r="D289" s="194" t="s">
        <v>343</v>
      </c>
      <c r="E289" s="194">
        <v>5</v>
      </c>
      <c r="F289" s="194" t="s">
        <v>885</v>
      </c>
      <c r="G289" s="194" t="s">
        <v>3288</v>
      </c>
      <c r="H289" s="195">
        <v>5821.45</v>
      </c>
      <c r="I289" s="194" t="s">
        <v>391</v>
      </c>
      <c r="J289" s="194" t="s">
        <v>331</v>
      </c>
      <c r="K289" s="196">
        <v>45519</v>
      </c>
      <c r="L289" s="197"/>
      <c r="M289" s="194" t="s">
        <v>2956</v>
      </c>
    </row>
    <row r="290" spans="1:13" ht="26.25">
      <c r="A290" s="194">
        <v>315</v>
      </c>
      <c r="B290" s="194" t="s">
        <v>3303</v>
      </c>
      <c r="C290" s="194" t="s">
        <v>2969</v>
      </c>
      <c r="D290" s="194" t="s">
        <v>343</v>
      </c>
      <c r="E290" s="194">
        <v>5</v>
      </c>
      <c r="F290" s="194" t="s">
        <v>885</v>
      </c>
      <c r="G290" s="194" t="s">
        <v>3288</v>
      </c>
      <c r="H290" s="195">
        <v>5821.45</v>
      </c>
      <c r="I290" s="194" t="s">
        <v>391</v>
      </c>
      <c r="J290" s="194" t="s">
        <v>331</v>
      </c>
      <c r="K290" s="196">
        <v>45520</v>
      </c>
      <c r="L290" s="197"/>
      <c r="M290" s="194" t="s">
        <v>2956</v>
      </c>
    </row>
    <row r="291" spans="1:13" ht="26.25">
      <c r="A291" s="194">
        <v>316</v>
      </c>
      <c r="B291" s="194" t="s">
        <v>3304</v>
      </c>
      <c r="C291" s="194" t="s">
        <v>2969</v>
      </c>
      <c r="D291" s="194" t="s">
        <v>343</v>
      </c>
      <c r="E291" s="194">
        <v>30</v>
      </c>
      <c r="F291" s="194" t="s">
        <v>885</v>
      </c>
      <c r="G291" s="194" t="s">
        <v>3288</v>
      </c>
      <c r="H291" s="195">
        <v>9485.4</v>
      </c>
      <c r="I291" s="194" t="s">
        <v>391</v>
      </c>
      <c r="J291" s="194" t="s">
        <v>331</v>
      </c>
      <c r="K291" s="196">
        <v>45521</v>
      </c>
      <c r="L291" s="197"/>
      <c r="M291" s="194" t="s">
        <v>2956</v>
      </c>
    </row>
    <row r="292" spans="1:13" ht="26.25">
      <c r="A292" s="194">
        <v>317</v>
      </c>
      <c r="B292" s="194" t="s">
        <v>3305</v>
      </c>
      <c r="C292" s="194" t="s">
        <v>2969</v>
      </c>
      <c r="D292" s="194" t="s">
        <v>343</v>
      </c>
      <c r="E292" s="194">
        <v>30</v>
      </c>
      <c r="F292" s="194" t="s">
        <v>885</v>
      </c>
      <c r="G292" s="194" t="s">
        <v>3288</v>
      </c>
      <c r="H292" s="195">
        <v>9485.4</v>
      </c>
      <c r="I292" s="194" t="s">
        <v>391</v>
      </c>
      <c r="J292" s="194" t="s">
        <v>331</v>
      </c>
      <c r="K292" s="196">
        <v>45522</v>
      </c>
      <c r="L292" s="197"/>
      <c r="M292" s="194" t="s">
        <v>2956</v>
      </c>
    </row>
    <row r="293" spans="1:13" ht="26.25">
      <c r="A293" s="194">
        <v>318</v>
      </c>
      <c r="B293" s="194" t="s">
        <v>3306</v>
      </c>
      <c r="C293" s="194" t="s">
        <v>2969</v>
      </c>
      <c r="D293" s="194" t="s">
        <v>343</v>
      </c>
      <c r="E293" s="194">
        <v>1000</v>
      </c>
      <c r="F293" s="194" t="s">
        <v>33</v>
      </c>
      <c r="G293" s="194" t="s">
        <v>2954</v>
      </c>
      <c r="H293" s="195">
        <v>3700</v>
      </c>
      <c r="I293" s="194" t="s">
        <v>391</v>
      </c>
      <c r="J293" s="194" t="s">
        <v>331</v>
      </c>
      <c r="K293" s="196">
        <v>45505</v>
      </c>
      <c r="L293" s="197"/>
      <c r="M293" s="194" t="s">
        <v>2956</v>
      </c>
    </row>
    <row r="294" spans="1:13" ht="26.25">
      <c r="A294" s="194">
        <v>319</v>
      </c>
      <c r="B294" s="194" t="s">
        <v>3307</v>
      </c>
      <c r="C294" s="194" t="s">
        <v>2969</v>
      </c>
      <c r="D294" s="194" t="s">
        <v>343</v>
      </c>
      <c r="E294" s="194">
        <v>1000</v>
      </c>
      <c r="F294" s="194" t="s">
        <v>33</v>
      </c>
      <c r="G294" s="194" t="s">
        <v>2954</v>
      </c>
      <c r="H294" s="195">
        <v>6000</v>
      </c>
      <c r="I294" s="194" t="s">
        <v>391</v>
      </c>
      <c r="J294" s="194" t="s">
        <v>331</v>
      </c>
      <c r="K294" s="196">
        <v>45505</v>
      </c>
      <c r="L294" s="197"/>
      <c r="M294" s="194" t="s">
        <v>2956</v>
      </c>
    </row>
    <row r="295" spans="1:13" ht="26.25">
      <c r="A295" s="194">
        <v>320</v>
      </c>
      <c r="B295" s="194" t="s">
        <v>3308</v>
      </c>
      <c r="C295" s="194" t="s">
        <v>2969</v>
      </c>
      <c r="D295" s="194" t="s">
        <v>343</v>
      </c>
      <c r="E295" s="194">
        <v>1000</v>
      </c>
      <c r="F295" s="194" t="s">
        <v>33</v>
      </c>
      <c r="G295" s="194" t="s">
        <v>2954</v>
      </c>
      <c r="H295" s="195">
        <v>4000</v>
      </c>
      <c r="I295" s="194" t="s">
        <v>391</v>
      </c>
      <c r="J295" s="194" t="s">
        <v>331</v>
      </c>
      <c r="K295" s="196">
        <v>45505</v>
      </c>
      <c r="L295" s="197"/>
      <c r="M295" s="194" t="s">
        <v>2956</v>
      </c>
    </row>
    <row r="296" spans="1:13" ht="26.25">
      <c r="A296" s="194">
        <v>321</v>
      </c>
      <c r="B296" s="194" t="s">
        <v>3309</v>
      </c>
      <c r="C296" s="194" t="s">
        <v>2969</v>
      </c>
      <c r="D296" s="194" t="s">
        <v>343</v>
      </c>
      <c r="E296" s="194">
        <v>1000</v>
      </c>
      <c r="F296" s="194" t="s">
        <v>33</v>
      </c>
      <c r="G296" s="194" t="s">
        <v>2954</v>
      </c>
      <c r="H296" s="195">
        <v>10000</v>
      </c>
      <c r="I296" s="194" t="s">
        <v>391</v>
      </c>
      <c r="J296" s="194" t="s">
        <v>331</v>
      </c>
      <c r="K296" s="196">
        <v>45505</v>
      </c>
      <c r="L296" s="197"/>
      <c r="M296" s="194" t="s">
        <v>2956</v>
      </c>
    </row>
    <row r="297" spans="1:13" ht="26.25">
      <c r="A297" s="194">
        <v>322</v>
      </c>
      <c r="B297" s="194" t="s">
        <v>3310</v>
      </c>
      <c r="C297" s="194" t="s">
        <v>2969</v>
      </c>
      <c r="D297" s="194" t="s">
        <v>343</v>
      </c>
      <c r="E297" s="194">
        <v>1000</v>
      </c>
      <c r="F297" s="194" t="s">
        <v>33</v>
      </c>
      <c r="G297" s="194" t="s">
        <v>2954</v>
      </c>
      <c r="H297" s="195">
        <v>10500</v>
      </c>
      <c r="I297" s="194" t="s">
        <v>391</v>
      </c>
      <c r="J297" s="194" t="s">
        <v>331</v>
      </c>
      <c r="K297" s="196">
        <v>45505</v>
      </c>
      <c r="L297" s="197"/>
      <c r="M297" s="194" t="s">
        <v>2956</v>
      </c>
    </row>
    <row r="298" spans="1:13" ht="26.25">
      <c r="A298" s="194">
        <v>323</v>
      </c>
      <c r="B298" s="194" t="s">
        <v>3311</v>
      </c>
      <c r="C298" s="194" t="s">
        <v>2969</v>
      </c>
      <c r="D298" s="194" t="s">
        <v>343</v>
      </c>
      <c r="E298" s="194">
        <v>1000</v>
      </c>
      <c r="F298" s="194" t="s">
        <v>33</v>
      </c>
      <c r="G298" s="194" t="s">
        <v>2954</v>
      </c>
      <c r="H298" s="195">
        <v>2500</v>
      </c>
      <c r="I298" s="194" t="s">
        <v>391</v>
      </c>
      <c r="J298" s="194" t="s">
        <v>331</v>
      </c>
      <c r="K298" s="196">
        <v>45505</v>
      </c>
      <c r="L298" s="197"/>
      <c r="M298" s="194" t="s">
        <v>2956</v>
      </c>
    </row>
  </sheetData>
  <pageMargins left="0.511811024" right="0.511811024" top="0.78740157499999996" bottom="0.78740157499999996" header="0.31496062000000002" footer="0.3149606200000000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9C0B8-0412-43A8-B164-9F82964B418C}">
  <dimension ref="A1:M2326"/>
  <sheetViews>
    <sheetView workbookViewId="0">
      <selection activeCell="N2" sqref="N2"/>
    </sheetView>
  </sheetViews>
  <sheetFormatPr defaultRowHeight="15"/>
  <cols>
    <col min="2" max="2" width="12.85546875" bestFit="1" customWidth="1"/>
    <col min="8" max="8" width="17" bestFit="1" customWidth="1"/>
    <col min="11" max="11" width="11.28515625" bestFit="1" customWidth="1"/>
  </cols>
  <sheetData>
    <row r="1" spans="1:13" ht="71.25">
      <c r="A1" s="199" t="s">
        <v>2156</v>
      </c>
      <c r="B1" s="199" t="s">
        <v>3312</v>
      </c>
      <c r="C1" s="199" t="s">
        <v>10</v>
      </c>
      <c r="D1" s="199" t="s">
        <v>1</v>
      </c>
      <c r="E1" s="199" t="s">
        <v>582</v>
      </c>
      <c r="F1" s="199" t="s">
        <v>3313</v>
      </c>
      <c r="G1" s="199" t="s">
        <v>412</v>
      </c>
      <c r="H1" s="200" t="s">
        <v>817</v>
      </c>
      <c r="I1" s="199" t="s">
        <v>3314</v>
      </c>
      <c r="J1" s="199" t="s">
        <v>3315</v>
      </c>
      <c r="K1" s="199" t="s">
        <v>6</v>
      </c>
      <c r="L1" s="199" t="s">
        <v>7</v>
      </c>
      <c r="M1" s="199" t="s">
        <v>3316</v>
      </c>
    </row>
    <row r="2" spans="1:13" ht="85.5">
      <c r="A2" s="199">
        <v>1</v>
      </c>
      <c r="B2" s="199" t="s">
        <v>3317</v>
      </c>
      <c r="C2" s="199" t="s">
        <v>34</v>
      </c>
      <c r="D2" s="199" t="s">
        <v>35</v>
      </c>
      <c r="E2" s="199">
        <v>2000</v>
      </c>
      <c r="F2" s="199" t="s">
        <v>8</v>
      </c>
      <c r="G2" s="199" t="s">
        <v>3318</v>
      </c>
      <c r="H2" s="200">
        <v>21600</v>
      </c>
      <c r="I2" s="199" t="s">
        <v>20</v>
      </c>
      <c r="J2" s="199" t="s">
        <v>415</v>
      </c>
      <c r="K2" s="201">
        <v>45474</v>
      </c>
      <c r="L2" s="199" t="s">
        <v>3319</v>
      </c>
      <c r="M2" s="199" t="s">
        <v>3320</v>
      </c>
    </row>
    <row r="3" spans="1:13" ht="85.5">
      <c r="A3" s="199">
        <v>2</v>
      </c>
      <c r="B3" s="199" t="s">
        <v>3321</v>
      </c>
      <c r="C3" s="199" t="s">
        <v>34</v>
      </c>
      <c r="D3" s="199" t="s">
        <v>35</v>
      </c>
      <c r="E3" s="199">
        <v>50</v>
      </c>
      <c r="F3" s="199" t="s">
        <v>2378</v>
      </c>
      <c r="G3" s="199" t="s">
        <v>3318</v>
      </c>
      <c r="H3" s="200">
        <v>1110</v>
      </c>
      <c r="I3" s="199" t="s">
        <v>20</v>
      </c>
      <c r="J3" s="199" t="s">
        <v>415</v>
      </c>
      <c r="K3" s="201">
        <v>45474</v>
      </c>
      <c r="L3" s="199" t="s">
        <v>3322</v>
      </c>
      <c r="M3" s="199" t="s">
        <v>3320</v>
      </c>
    </row>
    <row r="4" spans="1:13" ht="85.5">
      <c r="A4" s="199">
        <v>3</v>
      </c>
      <c r="B4" s="199" t="s">
        <v>3323</v>
      </c>
      <c r="C4" s="199" t="s">
        <v>34</v>
      </c>
      <c r="D4" s="199" t="s">
        <v>35</v>
      </c>
      <c r="E4" s="199">
        <f>100</f>
        <v>100</v>
      </c>
      <c r="F4" s="199" t="s">
        <v>508</v>
      </c>
      <c r="G4" s="199" t="s">
        <v>3318</v>
      </c>
      <c r="H4" s="200">
        <v>938</v>
      </c>
      <c r="I4" s="199" t="s">
        <v>20</v>
      </c>
      <c r="J4" s="199" t="s">
        <v>415</v>
      </c>
      <c r="K4" s="201">
        <v>45474</v>
      </c>
      <c r="L4" s="199" t="s">
        <v>3324</v>
      </c>
      <c r="M4" s="199" t="s">
        <v>3320</v>
      </c>
    </row>
    <row r="5" spans="1:13" ht="85.5">
      <c r="A5" s="199">
        <v>4</v>
      </c>
      <c r="B5" s="199" t="s">
        <v>3325</v>
      </c>
      <c r="C5" s="199" t="s">
        <v>34</v>
      </c>
      <c r="D5" s="199" t="s">
        <v>35</v>
      </c>
      <c r="E5" s="199">
        <v>10</v>
      </c>
      <c r="F5" s="199" t="s">
        <v>508</v>
      </c>
      <c r="G5" s="199" t="s">
        <v>3318</v>
      </c>
      <c r="H5" s="200">
        <v>128.80000000000001</v>
      </c>
      <c r="I5" s="199" t="s">
        <v>20</v>
      </c>
      <c r="J5" s="199" t="s">
        <v>415</v>
      </c>
      <c r="K5" s="201">
        <v>45474</v>
      </c>
      <c r="L5" s="199" t="s">
        <v>3326</v>
      </c>
      <c r="M5" s="199" t="s">
        <v>3320</v>
      </c>
    </row>
    <row r="6" spans="1:13" ht="71.25">
      <c r="A6" s="199">
        <v>5</v>
      </c>
      <c r="B6" s="199" t="s">
        <v>3327</v>
      </c>
      <c r="C6" s="199" t="s">
        <v>3328</v>
      </c>
      <c r="D6" s="199" t="s">
        <v>17</v>
      </c>
      <c r="E6" s="199">
        <v>1</v>
      </c>
      <c r="F6" s="199" t="s">
        <v>3329</v>
      </c>
      <c r="G6" s="199" t="s">
        <v>3330</v>
      </c>
      <c r="H6" s="200">
        <f>8000*12</f>
        <v>96000</v>
      </c>
      <c r="I6" s="199" t="s">
        <v>20</v>
      </c>
      <c r="J6" s="199" t="s">
        <v>415</v>
      </c>
      <c r="K6" s="201">
        <v>46661</v>
      </c>
      <c r="L6" s="199" t="s">
        <v>38</v>
      </c>
      <c r="M6" s="199" t="s">
        <v>3320</v>
      </c>
    </row>
    <row r="7" spans="1:13" ht="71.25">
      <c r="A7" s="199">
        <v>6</v>
      </c>
      <c r="B7" s="199" t="s">
        <v>3331</v>
      </c>
      <c r="C7" s="199" t="s">
        <v>3328</v>
      </c>
      <c r="D7" s="199" t="s">
        <v>17</v>
      </c>
      <c r="E7" s="199">
        <v>1</v>
      </c>
      <c r="F7" s="199" t="s">
        <v>3329</v>
      </c>
      <c r="G7" s="199" t="s">
        <v>3330</v>
      </c>
      <c r="H7" s="200">
        <v>25000</v>
      </c>
      <c r="I7" s="199" t="s">
        <v>20</v>
      </c>
      <c r="J7" s="199" t="s">
        <v>415</v>
      </c>
      <c r="K7" s="201">
        <v>45474</v>
      </c>
      <c r="L7" s="199" t="s">
        <v>38</v>
      </c>
      <c r="M7" s="199" t="s">
        <v>3320</v>
      </c>
    </row>
    <row r="8" spans="1:13" ht="71.25">
      <c r="A8" s="199">
        <v>7</v>
      </c>
      <c r="B8" s="199" t="s">
        <v>3332</v>
      </c>
      <c r="C8" s="199" t="s">
        <v>3328</v>
      </c>
      <c r="D8" s="199" t="s">
        <v>17</v>
      </c>
      <c r="E8" s="199">
        <v>1</v>
      </c>
      <c r="F8" s="199" t="s">
        <v>3329</v>
      </c>
      <c r="G8" s="199" t="s">
        <v>3330</v>
      </c>
      <c r="H8" s="200">
        <v>48000</v>
      </c>
      <c r="I8" s="199" t="s">
        <v>20</v>
      </c>
      <c r="J8" s="199" t="s">
        <v>415</v>
      </c>
      <c r="K8" s="201">
        <v>45566</v>
      </c>
      <c r="L8" s="199" t="s">
        <v>38</v>
      </c>
      <c r="M8" s="199" t="s">
        <v>3320</v>
      </c>
    </row>
    <row r="9" spans="1:13" ht="71.25">
      <c r="A9" s="199">
        <v>8</v>
      </c>
      <c r="B9" s="199" t="s">
        <v>3333</v>
      </c>
      <c r="C9" s="199" t="s">
        <v>3328</v>
      </c>
      <c r="D9" s="199" t="s">
        <v>17</v>
      </c>
      <c r="E9" s="199">
        <v>1</v>
      </c>
      <c r="F9" s="199" t="s">
        <v>3329</v>
      </c>
      <c r="G9" s="199" t="s">
        <v>3330</v>
      </c>
      <c r="H9" s="200">
        <v>24000</v>
      </c>
      <c r="I9" s="199" t="s">
        <v>20</v>
      </c>
      <c r="J9" s="199" t="s">
        <v>415</v>
      </c>
      <c r="K9" s="201">
        <v>45474</v>
      </c>
      <c r="L9" s="199" t="s">
        <v>38</v>
      </c>
      <c r="M9" s="199" t="s">
        <v>3320</v>
      </c>
    </row>
    <row r="10" spans="1:13" ht="171">
      <c r="A10" s="199">
        <v>9</v>
      </c>
      <c r="B10" s="199" t="s">
        <v>3334</v>
      </c>
      <c r="C10" s="199" t="s">
        <v>34</v>
      </c>
      <c r="D10" s="199" t="s">
        <v>35</v>
      </c>
      <c r="E10" s="199">
        <v>12</v>
      </c>
      <c r="F10" s="199" t="s">
        <v>679</v>
      </c>
      <c r="G10" s="199" t="s">
        <v>3335</v>
      </c>
      <c r="H10" s="200">
        <v>14071.2</v>
      </c>
      <c r="I10" s="199" t="s">
        <v>20</v>
      </c>
      <c r="J10" s="199" t="s">
        <v>415</v>
      </c>
      <c r="K10" s="201">
        <v>45558</v>
      </c>
      <c r="L10" s="199" t="s">
        <v>3319</v>
      </c>
      <c r="M10" s="199" t="s">
        <v>3320</v>
      </c>
    </row>
    <row r="11" spans="1:13" ht="171">
      <c r="A11" s="199">
        <v>10</v>
      </c>
      <c r="B11" s="199" t="s">
        <v>3336</v>
      </c>
      <c r="C11" s="199" t="s">
        <v>34</v>
      </c>
      <c r="D11" s="199" t="s">
        <v>35</v>
      </c>
      <c r="E11" s="199">
        <v>12</v>
      </c>
      <c r="F11" s="199" t="s">
        <v>679</v>
      </c>
      <c r="G11" s="199" t="s">
        <v>3335</v>
      </c>
      <c r="H11" s="200">
        <v>14071.2</v>
      </c>
      <c r="I11" s="199" t="s">
        <v>20</v>
      </c>
      <c r="J11" s="199" t="s">
        <v>415</v>
      </c>
      <c r="K11" s="201">
        <v>45558</v>
      </c>
      <c r="L11" s="199" t="s">
        <v>3319</v>
      </c>
      <c r="M11" s="199" t="s">
        <v>3320</v>
      </c>
    </row>
    <row r="12" spans="1:13" ht="156.75">
      <c r="A12" s="199">
        <v>11</v>
      </c>
      <c r="B12" s="199" t="s">
        <v>3337</v>
      </c>
      <c r="C12" s="199" t="s">
        <v>34</v>
      </c>
      <c r="D12" s="199" t="s">
        <v>35</v>
      </c>
      <c r="E12" s="199">
        <v>24</v>
      </c>
      <c r="F12" s="199" t="s">
        <v>679</v>
      </c>
      <c r="G12" s="199" t="s">
        <v>3335</v>
      </c>
      <c r="H12" s="200">
        <v>28142.400000000001</v>
      </c>
      <c r="I12" s="199" t="s">
        <v>20</v>
      </c>
      <c r="J12" s="199" t="s">
        <v>415</v>
      </c>
      <c r="K12" s="201">
        <v>45558</v>
      </c>
      <c r="L12" s="199" t="s">
        <v>3319</v>
      </c>
      <c r="M12" s="199" t="s">
        <v>3320</v>
      </c>
    </row>
    <row r="13" spans="1:13" ht="85.5">
      <c r="A13" s="199">
        <v>12</v>
      </c>
      <c r="B13" s="199" t="s">
        <v>3338</v>
      </c>
      <c r="C13" s="199" t="s">
        <v>34</v>
      </c>
      <c r="D13" s="199" t="s">
        <v>35</v>
      </c>
      <c r="E13" s="199">
        <v>2</v>
      </c>
      <c r="F13" s="199" t="s">
        <v>8</v>
      </c>
      <c r="G13" s="199" t="s">
        <v>3335</v>
      </c>
      <c r="H13" s="200">
        <v>670.8</v>
      </c>
      <c r="I13" s="199" t="s">
        <v>20</v>
      </c>
      <c r="J13" s="199" t="s">
        <v>415</v>
      </c>
      <c r="K13" s="201">
        <v>45558</v>
      </c>
      <c r="L13" s="199" t="s">
        <v>3319</v>
      </c>
      <c r="M13" s="199" t="s">
        <v>3320</v>
      </c>
    </row>
    <row r="14" spans="1:13" ht="99.75">
      <c r="A14" s="199">
        <v>13</v>
      </c>
      <c r="B14" s="199" t="s">
        <v>3339</v>
      </c>
      <c r="C14" s="199" t="s">
        <v>34</v>
      </c>
      <c r="D14" s="199" t="s">
        <v>35</v>
      </c>
      <c r="E14" s="199">
        <v>2</v>
      </c>
      <c r="F14" s="199" t="s">
        <v>8</v>
      </c>
      <c r="G14" s="199" t="s">
        <v>3335</v>
      </c>
      <c r="H14" s="200">
        <v>200.2</v>
      </c>
      <c r="I14" s="199" t="s">
        <v>20</v>
      </c>
      <c r="J14" s="199" t="s">
        <v>415</v>
      </c>
      <c r="K14" s="201">
        <v>45558</v>
      </c>
      <c r="L14" s="199" t="s">
        <v>3319</v>
      </c>
      <c r="M14" s="199" t="s">
        <v>3320</v>
      </c>
    </row>
    <row r="15" spans="1:13" ht="85.5">
      <c r="A15" s="199">
        <v>14</v>
      </c>
      <c r="B15" s="199" t="s">
        <v>3340</v>
      </c>
      <c r="C15" s="199" t="s">
        <v>34</v>
      </c>
      <c r="D15" s="199" t="s">
        <v>35</v>
      </c>
      <c r="E15" s="199">
        <v>2</v>
      </c>
      <c r="F15" s="199" t="s">
        <v>8</v>
      </c>
      <c r="G15" s="199" t="s">
        <v>3335</v>
      </c>
      <c r="H15" s="200">
        <v>468</v>
      </c>
      <c r="I15" s="199" t="s">
        <v>20</v>
      </c>
      <c r="J15" s="199" t="s">
        <v>415</v>
      </c>
      <c r="K15" s="201">
        <v>45558</v>
      </c>
      <c r="L15" s="199" t="s">
        <v>3319</v>
      </c>
      <c r="M15" s="199" t="s">
        <v>3320</v>
      </c>
    </row>
    <row r="16" spans="1:13" ht="85.5">
      <c r="A16" s="199">
        <v>15</v>
      </c>
      <c r="B16" s="199" t="s">
        <v>3341</v>
      </c>
      <c r="C16" s="199" t="s">
        <v>34</v>
      </c>
      <c r="D16" s="199" t="s">
        <v>35</v>
      </c>
      <c r="E16" s="199">
        <v>16</v>
      </c>
      <c r="F16" s="199" t="s">
        <v>679</v>
      </c>
      <c r="G16" s="199" t="s">
        <v>3335</v>
      </c>
      <c r="H16" s="200">
        <v>12979.2</v>
      </c>
      <c r="I16" s="199" t="s">
        <v>20</v>
      </c>
      <c r="J16" s="199" t="s">
        <v>415</v>
      </c>
      <c r="K16" s="201">
        <v>45558</v>
      </c>
      <c r="L16" s="199" t="s">
        <v>3319</v>
      </c>
      <c r="M16" s="199" t="s">
        <v>3320</v>
      </c>
    </row>
    <row r="17" spans="1:13" ht="342">
      <c r="A17" s="199">
        <v>16</v>
      </c>
      <c r="B17" s="199" t="s">
        <v>3342</v>
      </c>
      <c r="C17" s="199" t="s">
        <v>34</v>
      </c>
      <c r="D17" s="199" t="s">
        <v>35</v>
      </c>
      <c r="E17" s="199">
        <v>16</v>
      </c>
      <c r="F17" s="199" t="s">
        <v>591</v>
      </c>
      <c r="G17" s="199" t="s">
        <v>3335</v>
      </c>
      <c r="H17" s="200">
        <v>5220.8</v>
      </c>
      <c r="I17" s="199" t="s">
        <v>20</v>
      </c>
      <c r="J17" s="199" t="s">
        <v>415</v>
      </c>
      <c r="K17" s="201">
        <v>45558</v>
      </c>
      <c r="L17" s="199" t="s">
        <v>3319</v>
      </c>
      <c r="M17" s="199" t="s">
        <v>3320</v>
      </c>
    </row>
    <row r="18" spans="1:13" ht="114">
      <c r="A18" s="199">
        <v>17</v>
      </c>
      <c r="B18" s="199" t="s">
        <v>3343</v>
      </c>
      <c r="C18" s="199" t="s">
        <v>34</v>
      </c>
      <c r="D18" s="199" t="s">
        <v>35</v>
      </c>
      <c r="E18" s="199">
        <v>120</v>
      </c>
      <c r="F18" s="199" t="s">
        <v>679</v>
      </c>
      <c r="G18" s="199" t="s">
        <v>3335</v>
      </c>
      <c r="H18" s="200">
        <v>17054.400000000001</v>
      </c>
      <c r="I18" s="199" t="s">
        <v>20</v>
      </c>
      <c r="J18" s="199" t="s">
        <v>415</v>
      </c>
      <c r="K18" s="201">
        <v>45558</v>
      </c>
      <c r="L18" s="199" t="s">
        <v>3319</v>
      </c>
      <c r="M18" s="199" t="s">
        <v>3320</v>
      </c>
    </row>
    <row r="19" spans="1:13" ht="71.25">
      <c r="A19" s="199">
        <v>18</v>
      </c>
      <c r="B19" s="199" t="s">
        <v>3344</v>
      </c>
      <c r="C19" s="199" t="s">
        <v>34</v>
      </c>
      <c r="D19" s="199" t="s">
        <v>35</v>
      </c>
      <c r="E19" s="199">
        <v>1762028.51</v>
      </c>
      <c r="F19" s="199" t="s">
        <v>3345</v>
      </c>
      <c r="G19" s="199" t="s">
        <v>3346</v>
      </c>
      <c r="H19" s="200">
        <v>1762028.51</v>
      </c>
      <c r="I19" s="199" t="s">
        <v>20</v>
      </c>
      <c r="J19" s="199" t="s">
        <v>415</v>
      </c>
      <c r="K19" s="201">
        <v>45637</v>
      </c>
      <c r="L19" s="199" t="s">
        <v>3347</v>
      </c>
      <c r="M19" s="199" t="s">
        <v>3320</v>
      </c>
    </row>
    <row r="20" spans="1:13" ht="71.25">
      <c r="A20" s="199">
        <v>19</v>
      </c>
      <c r="B20" s="199" t="s">
        <v>3348</v>
      </c>
      <c r="C20" s="199" t="s">
        <v>34</v>
      </c>
      <c r="D20" s="199" t="s">
        <v>35</v>
      </c>
      <c r="E20" s="199">
        <v>115778.17</v>
      </c>
      <c r="F20" s="199" t="s">
        <v>3345</v>
      </c>
      <c r="G20" s="199" t="s">
        <v>3346</v>
      </c>
      <c r="H20" s="200">
        <v>115778.17</v>
      </c>
      <c r="I20" s="199" t="s">
        <v>20</v>
      </c>
      <c r="J20" s="199" t="s">
        <v>415</v>
      </c>
      <c r="K20" s="201">
        <v>45637</v>
      </c>
      <c r="L20" s="199" t="s">
        <v>3347</v>
      </c>
      <c r="M20" s="199" t="s">
        <v>3320</v>
      </c>
    </row>
    <row r="21" spans="1:13" ht="71.25">
      <c r="A21" s="199">
        <v>20</v>
      </c>
      <c r="B21" s="199" t="s">
        <v>3349</v>
      </c>
      <c r="C21" s="199" t="s">
        <v>34</v>
      </c>
      <c r="D21" s="199" t="s">
        <v>35</v>
      </c>
      <c r="E21" s="199">
        <v>1441098.53</v>
      </c>
      <c r="F21" s="199" t="s">
        <v>3345</v>
      </c>
      <c r="G21" s="199" t="s">
        <v>3346</v>
      </c>
      <c r="H21" s="200">
        <v>1441098.53</v>
      </c>
      <c r="I21" s="199" t="s">
        <v>20</v>
      </c>
      <c r="J21" s="199" t="s">
        <v>415</v>
      </c>
      <c r="K21" s="201">
        <v>45637</v>
      </c>
      <c r="L21" s="199" t="s">
        <v>3347</v>
      </c>
      <c r="M21" s="199" t="s">
        <v>3320</v>
      </c>
    </row>
    <row r="22" spans="1:13" ht="42.75">
      <c r="A22" s="199">
        <v>21</v>
      </c>
      <c r="B22" s="199" t="s">
        <v>3350</v>
      </c>
      <c r="C22" s="199" t="s">
        <v>25</v>
      </c>
      <c r="D22" s="199" t="s">
        <v>3351</v>
      </c>
      <c r="E22" s="199">
        <v>1</v>
      </c>
      <c r="F22" s="199" t="s">
        <v>25</v>
      </c>
      <c r="G22" s="199" t="s">
        <v>3352</v>
      </c>
      <c r="H22" s="200">
        <v>922056</v>
      </c>
      <c r="I22" s="199" t="s">
        <v>38</v>
      </c>
      <c r="J22" s="199" t="s">
        <v>415</v>
      </c>
      <c r="K22" s="201">
        <v>45505</v>
      </c>
      <c r="L22" s="199" t="s">
        <v>20</v>
      </c>
      <c r="M22" s="199" t="s">
        <v>3320</v>
      </c>
    </row>
    <row r="23" spans="1:13" ht="85.5">
      <c r="A23" s="199">
        <v>22</v>
      </c>
      <c r="B23" s="199" t="s">
        <v>3353</v>
      </c>
      <c r="C23" s="199" t="s">
        <v>34</v>
      </c>
      <c r="D23" s="199" t="s">
        <v>35</v>
      </c>
      <c r="E23" s="199">
        <v>200</v>
      </c>
      <c r="F23" s="199" t="s">
        <v>8</v>
      </c>
      <c r="G23" s="199" t="s">
        <v>3354</v>
      </c>
      <c r="H23" s="200">
        <v>96</v>
      </c>
      <c r="I23" s="199" t="s">
        <v>20</v>
      </c>
      <c r="J23" s="199" t="s">
        <v>415</v>
      </c>
      <c r="K23" s="201">
        <v>45605</v>
      </c>
      <c r="L23" s="199" t="s">
        <v>3319</v>
      </c>
      <c r="M23" s="199" t="s">
        <v>3320</v>
      </c>
    </row>
    <row r="24" spans="1:13" ht="85.5">
      <c r="A24" s="199">
        <v>23</v>
      </c>
      <c r="B24" s="199" t="s">
        <v>3355</v>
      </c>
      <c r="C24" s="199" t="s">
        <v>34</v>
      </c>
      <c r="D24" s="199" t="s">
        <v>35</v>
      </c>
      <c r="E24" s="199">
        <v>800</v>
      </c>
      <c r="F24" s="199" t="s">
        <v>8</v>
      </c>
      <c r="G24" s="199" t="s">
        <v>3354</v>
      </c>
      <c r="H24" s="200">
        <v>224</v>
      </c>
      <c r="I24" s="199" t="s">
        <v>20</v>
      </c>
      <c r="J24" s="199" t="s">
        <v>415</v>
      </c>
      <c r="K24" s="201">
        <v>45605</v>
      </c>
      <c r="L24" s="199" t="s">
        <v>3319</v>
      </c>
      <c r="M24" s="199" t="s">
        <v>3320</v>
      </c>
    </row>
    <row r="25" spans="1:13" ht="142.5">
      <c r="A25" s="199">
        <v>24</v>
      </c>
      <c r="B25" s="199" t="s">
        <v>3356</v>
      </c>
      <c r="C25" s="199" t="s">
        <v>34</v>
      </c>
      <c r="D25" s="199" t="s">
        <v>35</v>
      </c>
      <c r="E25" s="199">
        <v>12000</v>
      </c>
      <c r="F25" s="199" t="s">
        <v>8</v>
      </c>
      <c r="G25" s="199" t="s">
        <v>3354</v>
      </c>
      <c r="H25" s="200">
        <v>29400</v>
      </c>
      <c r="I25" s="199" t="s">
        <v>20</v>
      </c>
      <c r="J25" s="199" t="s">
        <v>415</v>
      </c>
      <c r="K25" s="201">
        <v>45605</v>
      </c>
      <c r="L25" s="199" t="s">
        <v>3319</v>
      </c>
      <c r="M25" s="199" t="s">
        <v>3320</v>
      </c>
    </row>
    <row r="26" spans="1:13" ht="142.5">
      <c r="A26" s="199">
        <v>25</v>
      </c>
      <c r="B26" s="199" t="s">
        <v>3356</v>
      </c>
      <c r="C26" s="199" t="s">
        <v>34</v>
      </c>
      <c r="D26" s="199" t="s">
        <v>35</v>
      </c>
      <c r="E26" s="199">
        <v>16000</v>
      </c>
      <c r="F26" s="199" t="s">
        <v>8</v>
      </c>
      <c r="G26" s="199" t="s">
        <v>3354</v>
      </c>
      <c r="H26" s="200">
        <v>42080</v>
      </c>
      <c r="I26" s="199" t="s">
        <v>20</v>
      </c>
      <c r="J26" s="199" t="s">
        <v>415</v>
      </c>
      <c r="K26" s="201">
        <v>45605</v>
      </c>
      <c r="L26" s="199" t="s">
        <v>3319</v>
      </c>
      <c r="M26" s="199" t="s">
        <v>3320</v>
      </c>
    </row>
    <row r="27" spans="1:13" ht="142.5">
      <c r="A27" s="199">
        <v>26</v>
      </c>
      <c r="B27" s="199" t="s">
        <v>3357</v>
      </c>
      <c r="C27" s="199" t="s">
        <v>34</v>
      </c>
      <c r="D27" s="199" t="s">
        <v>35</v>
      </c>
      <c r="E27" s="199">
        <v>5000</v>
      </c>
      <c r="F27" s="199" t="s">
        <v>8</v>
      </c>
      <c r="G27" s="199" t="s">
        <v>3354</v>
      </c>
      <c r="H27" s="200">
        <v>15750</v>
      </c>
      <c r="I27" s="199" t="s">
        <v>20</v>
      </c>
      <c r="J27" s="199" t="s">
        <v>415</v>
      </c>
      <c r="K27" s="201">
        <v>45605</v>
      </c>
      <c r="L27" s="199" t="s">
        <v>3319</v>
      </c>
      <c r="M27" s="199" t="s">
        <v>3320</v>
      </c>
    </row>
    <row r="28" spans="1:13" ht="85.5">
      <c r="A28" s="199">
        <v>27</v>
      </c>
      <c r="B28" s="199" t="s">
        <v>3358</v>
      </c>
      <c r="C28" s="199" t="s">
        <v>34</v>
      </c>
      <c r="D28" s="199" t="s">
        <v>35</v>
      </c>
      <c r="E28" s="199">
        <v>10000</v>
      </c>
      <c r="F28" s="199" t="s">
        <v>8</v>
      </c>
      <c r="G28" s="199" t="s">
        <v>3354</v>
      </c>
      <c r="H28" s="200">
        <v>19800</v>
      </c>
      <c r="I28" s="199" t="s">
        <v>20</v>
      </c>
      <c r="J28" s="199" t="s">
        <v>415</v>
      </c>
      <c r="K28" s="201">
        <v>45605</v>
      </c>
      <c r="L28" s="199" t="s">
        <v>3319</v>
      </c>
      <c r="M28" s="199" t="s">
        <v>3320</v>
      </c>
    </row>
    <row r="29" spans="1:13" ht="85.5">
      <c r="A29" s="199">
        <v>28</v>
      </c>
      <c r="B29" s="199" t="s">
        <v>3359</v>
      </c>
      <c r="C29" s="199" t="s">
        <v>34</v>
      </c>
      <c r="D29" s="199" t="s">
        <v>35</v>
      </c>
      <c r="E29" s="199">
        <v>10000</v>
      </c>
      <c r="F29" s="199" t="s">
        <v>8</v>
      </c>
      <c r="G29" s="199" t="s">
        <v>3354</v>
      </c>
      <c r="H29" s="200">
        <v>18700</v>
      </c>
      <c r="I29" s="199" t="s">
        <v>20</v>
      </c>
      <c r="J29" s="199" t="s">
        <v>415</v>
      </c>
      <c r="K29" s="201">
        <v>45605</v>
      </c>
      <c r="L29" s="199" t="s">
        <v>3319</v>
      </c>
      <c r="M29" s="199" t="s">
        <v>3320</v>
      </c>
    </row>
    <row r="30" spans="1:13" ht="85.5">
      <c r="A30" s="199">
        <v>29</v>
      </c>
      <c r="B30" s="199" t="s">
        <v>3360</v>
      </c>
      <c r="C30" s="199" t="s">
        <v>34</v>
      </c>
      <c r="D30" s="199" t="s">
        <v>35</v>
      </c>
      <c r="E30" s="199">
        <v>9000</v>
      </c>
      <c r="F30" s="199" t="s">
        <v>8</v>
      </c>
      <c r="G30" s="199" t="s">
        <v>3354</v>
      </c>
      <c r="H30" s="200">
        <v>17820</v>
      </c>
      <c r="I30" s="199" t="s">
        <v>20</v>
      </c>
      <c r="J30" s="199" t="s">
        <v>415</v>
      </c>
      <c r="K30" s="201">
        <v>45605</v>
      </c>
      <c r="L30" s="199" t="s">
        <v>3319</v>
      </c>
      <c r="M30" s="199" t="s">
        <v>3320</v>
      </c>
    </row>
    <row r="31" spans="1:13" ht="85.5">
      <c r="A31" s="199">
        <v>30</v>
      </c>
      <c r="B31" s="199" t="s">
        <v>3361</v>
      </c>
      <c r="C31" s="199" t="s">
        <v>34</v>
      </c>
      <c r="D31" s="199" t="s">
        <v>35</v>
      </c>
      <c r="E31" s="199">
        <v>6000</v>
      </c>
      <c r="F31" s="199" t="s">
        <v>8</v>
      </c>
      <c r="G31" s="199" t="s">
        <v>3354</v>
      </c>
      <c r="H31" s="200">
        <v>11580</v>
      </c>
      <c r="I31" s="199" t="s">
        <v>20</v>
      </c>
      <c r="J31" s="199" t="s">
        <v>415</v>
      </c>
      <c r="K31" s="201">
        <v>45605</v>
      </c>
      <c r="L31" s="199" t="s">
        <v>3319</v>
      </c>
      <c r="M31" s="199" t="s">
        <v>3320</v>
      </c>
    </row>
    <row r="32" spans="1:13" ht="85.5">
      <c r="A32" s="199">
        <v>31</v>
      </c>
      <c r="B32" s="199" t="s">
        <v>3362</v>
      </c>
      <c r="C32" s="199" t="s">
        <v>34</v>
      </c>
      <c r="D32" s="199" t="s">
        <v>35</v>
      </c>
      <c r="E32" s="199">
        <v>4000</v>
      </c>
      <c r="F32" s="199" t="s">
        <v>8</v>
      </c>
      <c r="G32" s="199" t="s">
        <v>3354</v>
      </c>
      <c r="H32" s="200">
        <v>7480</v>
      </c>
      <c r="I32" s="199" t="s">
        <v>20</v>
      </c>
      <c r="J32" s="199" t="s">
        <v>415</v>
      </c>
      <c r="K32" s="201">
        <v>45605</v>
      </c>
      <c r="L32" s="199" t="s">
        <v>3319</v>
      </c>
      <c r="M32" s="199" t="s">
        <v>3320</v>
      </c>
    </row>
    <row r="33" spans="1:13" ht="85.5">
      <c r="A33" s="199">
        <v>32</v>
      </c>
      <c r="B33" s="199" t="s">
        <v>3363</v>
      </c>
      <c r="C33" s="199" t="s">
        <v>34</v>
      </c>
      <c r="D33" s="199" t="s">
        <v>35</v>
      </c>
      <c r="E33" s="199">
        <v>25000</v>
      </c>
      <c r="F33" s="199" t="s">
        <v>8</v>
      </c>
      <c r="G33" s="199" t="s">
        <v>3354</v>
      </c>
      <c r="H33" s="200">
        <v>46750</v>
      </c>
      <c r="I33" s="199" t="s">
        <v>20</v>
      </c>
      <c r="J33" s="199" t="s">
        <v>415</v>
      </c>
      <c r="K33" s="201">
        <v>45605</v>
      </c>
      <c r="L33" s="199" t="s">
        <v>3319</v>
      </c>
      <c r="M33" s="199" t="s">
        <v>3320</v>
      </c>
    </row>
    <row r="34" spans="1:13" ht="85.5">
      <c r="A34" s="199">
        <v>33</v>
      </c>
      <c r="B34" s="199" t="s">
        <v>3364</v>
      </c>
      <c r="C34" s="199" t="s">
        <v>34</v>
      </c>
      <c r="D34" s="199" t="s">
        <v>35</v>
      </c>
      <c r="E34" s="199">
        <v>2000</v>
      </c>
      <c r="F34" s="199" t="s">
        <v>8</v>
      </c>
      <c r="G34" s="199" t="s">
        <v>3354</v>
      </c>
      <c r="H34" s="200">
        <v>1720</v>
      </c>
      <c r="I34" s="199" t="s">
        <v>20</v>
      </c>
      <c r="J34" s="199" t="s">
        <v>415</v>
      </c>
      <c r="K34" s="201">
        <v>45605</v>
      </c>
      <c r="L34" s="199" t="s">
        <v>3319</v>
      </c>
      <c r="M34" s="199" t="s">
        <v>3320</v>
      </c>
    </row>
    <row r="35" spans="1:13" ht="85.5">
      <c r="A35" s="199">
        <v>34</v>
      </c>
      <c r="B35" s="199" t="s">
        <v>3365</v>
      </c>
      <c r="C35" s="199" t="s">
        <v>34</v>
      </c>
      <c r="D35" s="199" t="s">
        <v>35</v>
      </c>
      <c r="E35" s="199">
        <v>1000</v>
      </c>
      <c r="F35" s="199" t="s">
        <v>8</v>
      </c>
      <c r="G35" s="199" t="s">
        <v>3354</v>
      </c>
      <c r="H35" s="200">
        <v>700</v>
      </c>
      <c r="I35" s="199" t="s">
        <v>20</v>
      </c>
      <c r="J35" s="199" t="s">
        <v>415</v>
      </c>
      <c r="K35" s="201">
        <v>45605</v>
      </c>
      <c r="L35" s="199" t="s">
        <v>3319</v>
      </c>
      <c r="M35" s="199" t="s">
        <v>3320</v>
      </c>
    </row>
    <row r="36" spans="1:13" ht="85.5">
      <c r="A36" s="199">
        <v>35</v>
      </c>
      <c r="B36" s="199" t="s">
        <v>3366</v>
      </c>
      <c r="C36" s="199" t="s">
        <v>34</v>
      </c>
      <c r="D36" s="199" t="s">
        <v>35</v>
      </c>
      <c r="E36" s="199">
        <v>420000</v>
      </c>
      <c r="F36" s="199" t="s">
        <v>8</v>
      </c>
      <c r="G36" s="199" t="s">
        <v>3354</v>
      </c>
      <c r="H36" s="200">
        <v>33600</v>
      </c>
      <c r="I36" s="199" t="s">
        <v>20</v>
      </c>
      <c r="J36" s="199" t="s">
        <v>415</v>
      </c>
      <c r="K36" s="201">
        <v>45605</v>
      </c>
      <c r="L36" s="199" t="s">
        <v>3319</v>
      </c>
      <c r="M36" s="199" t="s">
        <v>3320</v>
      </c>
    </row>
    <row r="37" spans="1:13" ht="85.5">
      <c r="A37" s="199">
        <v>36</v>
      </c>
      <c r="B37" s="199" t="s">
        <v>3367</v>
      </c>
      <c r="C37" s="199" t="s">
        <v>34</v>
      </c>
      <c r="D37" s="199" t="s">
        <v>35</v>
      </c>
      <c r="E37" s="199">
        <v>420000</v>
      </c>
      <c r="F37" s="199" t="s">
        <v>8</v>
      </c>
      <c r="G37" s="199" t="s">
        <v>3354</v>
      </c>
      <c r="H37" s="200">
        <v>37800</v>
      </c>
      <c r="I37" s="199" t="s">
        <v>20</v>
      </c>
      <c r="J37" s="199" t="s">
        <v>415</v>
      </c>
      <c r="K37" s="201">
        <v>45605</v>
      </c>
      <c r="L37" s="199" t="s">
        <v>3319</v>
      </c>
      <c r="M37" s="199" t="s">
        <v>3320</v>
      </c>
    </row>
    <row r="38" spans="1:13" ht="85.5">
      <c r="A38" s="199">
        <v>37</v>
      </c>
      <c r="B38" s="199" t="s">
        <v>3368</v>
      </c>
      <c r="C38" s="199" t="s">
        <v>34</v>
      </c>
      <c r="D38" s="199" t="s">
        <v>35</v>
      </c>
      <c r="E38" s="199">
        <v>140000</v>
      </c>
      <c r="F38" s="199" t="s">
        <v>8</v>
      </c>
      <c r="G38" s="199" t="s">
        <v>3354</v>
      </c>
      <c r="H38" s="200">
        <v>11200</v>
      </c>
      <c r="I38" s="199" t="s">
        <v>20</v>
      </c>
      <c r="J38" s="199" t="s">
        <v>415</v>
      </c>
      <c r="K38" s="201">
        <v>45605</v>
      </c>
      <c r="L38" s="199" t="s">
        <v>3319</v>
      </c>
      <c r="M38" s="199" t="s">
        <v>3320</v>
      </c>
    </row>
    <row r="39" spans="1:13" ht="85.5">
      <c r="A39" s="199">
        <v>38</v>
      </c>
      <c r="B39" s="199" t="s">
        <v>3369</v>
      </c>
      <c r="C39" s="199" t="s">
        <v>34</v>
      </c>
      <c r="D39" s="199" t="s">
        <v>35</v>
      </c>
      <c r="E39" s="199">
        <v>940000</v>
      </c>
      <c r="F39" s="199" t="s">
        <v>8</v>
      </c>
      <c r="G39" s="199" t="s">
        <v>3354</v>
      </c>
      <c r="H39" s="200">
        <v>75200</v>
      </c>
      <c r="I39" s="199" t="s">
        <v>20</v>
      </c>
      <c r="J39" s="199" t="s">
        <v>415</v>
      </c>
      <c r="K39" s="201">
        <v>45605</v>
      </c>
      <c r="L39" s="199" t="s">
        <v>3319</v>
      </c>
      <c r="M39" s="199" t="s">
        <v>3320</v>
      </c>
    </row>
    <row r="40" spans="1:13" ht="85.5">
      <c r="A40" s="199">
        <v>39</v>
      </c>
      <c r="B40" s="199" t="s">
        <v>3370</v>
      </c>
      <c r="C40" s="199" t="s">
        <v>34</v>
      </c>
      <c r="D40" s="199" t="s">
        <v>35</v>
      </c>
      <c r="E40" s="199">
        <v>1000</v>
      </c>
      <c r="F40" s="199" t="s">
        <v>8</v>
      </c>
      <c r="G40" s="199" t="s">
        <v>3354</v>
      </c>
      <c r="H40" s="200">
        <v>290</v>
      </c>
      <c r="I40" s="199" t="s">
        <v>20</v>
      </c>
      <c r="J40" s="199" t="s">
        <v>415</v>
      </c>
      <c r="K40" s="201">
        <v>45605</v>
      </c>
      <c r="L40" s="199" t="s">
        <v>3319</v>
      </c>
      <c r="M40" s="199" t="s">
        <v>3320</v>
      </c>
    </row>
    <row r="41" spans="1:13" ht="85.5">
      <c r="A41" s="199">
        <v>40</v>
      </c>
      <c r="B41" s="199" t="s">
        <v>3371</v>
      </c>
      <c r="C41" s="199" t="s">
        <v>34</v>
      </c>
      <c r="D41" s="199" t="s">
        <v>35</v>
      </c>
      <c r="E41" s="199">
        <v>64000</v>
      </c>
      <c r="F41" s="199" t="s">
        <v>8</v>
      </c>
      <c r="G41" s="199" t="s">
        <v>3354</v>
      </c>
      <c r="H41" s="200">
        <v>107520</v>
      </c>
      <c r="I41" s="199" t="s">
        <v>20</v>
      </c>
      <c r="J41" s="199" t="s">
        <v>415</v>
      </c>
      <c r="K41" s="201">
        <v>45605</v>
      </c>
      <c r="L41" s="199" t="s">
        <v>3319</v>
      </c>
      <c r="M41" s="199" t="s">
        <v>3320</v>
      </c>
    </row>
    <row r="42" spans="1:13" ht="99.75">
      <c r="A42" s="199">
        <v>41</v>
      </c>
      <c r="B42" s="199" t="s">
        <v>3372</v>
      </c>
      <c r="C42" s="199" t="s">
        <v>34</v>
      </c>
      <c r="D42" s="199" t="s">
        <v>35</v>
      </c>
      <c r="E42" s="199">
        <v>800</v>
      </c>
      <c r="F42" s="199" t="s">
        <v>8</v>
      </c>
      <c r="G42" s="199" t="s">
        <v>3354</v>
      </c>
      <c r="H42" s="200">
        <v>1424</v>
      </c>
      <c r="I42" s="199" t="s">
        <v>20</v>
      </c>
      <c r="J42" s="199" t="s">
        <v>415</v>
      </c>
      <c r="K42" s="201">
        <v>45605</v>
      </c>
      <c r="L42" s="199" t="s">
        <v>3319</v>
      </c>
      <c r="M42" s="199" t="s">
        <v>3320</v>
      </c>
    </row>
    <row r="43" spans="1:13" ht="99.75">
      <c r="A43" s="199">
        <v>42</v>
      </c>
      <c r="B43" s="199" t="s">
        <v>3373</v>
      </c>
      <c r="C43" s="199" t="s">
        <v>34</v>
      </c>
      <c r="D43" s="199" t="s">
        <v>35</v>
      </c>
      <c r="E43" s="199">
        <v>2000</v>
      </c>
      <c r="F43" s="199" t="s">
        <v>8</v>
      </c>
      <c r="G43" s="199" t="s">
        <v>3354</v>
      </c>
      <c r="H43" s="200">
        <v>3840</v>
      </c>
      <c r="I43" s="199" t="s">
        <v>20</v>
      </c>
      <c r="J43" s="199" t="s">
        <v>415</v>
      </c>
      <c r="K43" s="201">
        <v>45605</v>
      </c>
      <c r="L43" s="199" t="s">
        <v>3319</v>
      </c>
      <c r="M43" s="199" t="s">
        <v>3320</v>
      </c>
    </row>
    <row r="44" spans="1:13" ht="85.5">
      <c r="A44" s="199">
        <v>43</v>
      </c>
      <c r="B44" s="199" t="s">
        <v>3374</v>
      </c>
      <c r="C44" s="199" t="s">
        <v>34</v>
      </c>
      <c r="D44" s="199" t="s">
        <v>35</v>
      </c>
      <c r="E44" s="199">
        <v>10000</v>
      </c>
      <c r="F44" s="199" t="s">
        <v>8</v>
      </c>
      <c r="G44" s="199" t="s">
        <v>3354</v>
      </c>
      <c r="H44" s="200">
        <v>20900</v>
      </c>
      <c r="I44" s="199" t="s">
        <v>20</v>
      </c>
      <c r="J44" s="199" t="s">
        <v>415</v>
      </c>
      <c r="K44" s="201">
        <v>45605</v>
      </c>
      <c r="L44" s="199" t="s">
        <v>3319</v>
      </c>
      <c r="M44" s="199" t="s">
        <v>3320</v>
      </c>
    </row>
    <row r="45" spans="1:13" ht="114">
      <c r="A45" s="199">
        <v>44</v>
      </c>
      <c r="B45" s="199" t="s">
        <v>3375</v>
      </c>
      <c r="C45" s="199" t="s">
        <v>34</v>
      </c>
      <c r="D45" s="199" t="s">
        <v>35</v>
      </c>
      <c r="E45" s="199">
        <v>10000</v>
      </c>
      <c r="F45" s="199" t="s">
        <v>8</v>
      </c>
      <c r="G45" s="199" t="s">
        <v>3354</v>
      </c>
      <c r="H45" s="200">
        <v>16000</v>
      </c>
      <c r="I45" s="199" t="s">
        <v>20</v>
      </c>
      <c r="J45" s="199" t="s">
        <v>415</v>
      </c>
      <c r="K45" s="201">
        <v>45605</v>
      </c>
      <c r="L45" s="199" t="s">
        <v>3319</v>
      </c>
      <c r="M45" s="199" t="s">
        <v>3320</v>
      </c>
    </row>
    <row r="46" spans="1:13" ht="99.75">
      <c r="A46" s="199">
        <v>45</v>
      </c>
      <c r="B46" s="199" t="s">
        <v>3376</v>
      </c>
      <c r="C46" s="199" t="s">
        <v>34</v>
      </c>
      <c r="D46" s="199" t="s">
        <v>35</v>
      </c>
      <c r="E46" s="199">
        <v>6000</v>
      </c>
      <c r="F46" s="199" t="s">
        <v>8</v>
      </c>
      <c r="G46" s="199" t="s">
        <v>3354</v>
      </c>
      <c r="H46" s="200">
        <v>5880</v>
      </c>
      <c r="I46" s="199" t="s">
        <v>20</v>
      </c>
      <c r="J46" s="199" t="s">
        <v>415</v>
      </c>
      <c r="K46" s="201">
        <v>45605</v>
      </c>
      <c r="L46" s="199" t="s">
        <v>3319</v>
      </c>
      <c r="M46" s="199" t="s">
        <v>3320</v>
      </c>
    </row>
    <row r="47" spans="1:13" ht="171">
      <c r="A47" s="199">
        <v>46</v>
      </c>
      <c r="B47" s="199" t="s">
        <v>3377</v>
      </c>
      <c r="C47" s="199" t="s">
        <v>34</v>
      </c>
      <c r="D47" s="199" t="s">
        <v>35</v>
      </c>
      <c r="E47" s="199">
        <v>15</v>
      </c>
      <c r="F47" s="199" t="s">
        <v>560</v>
      </c>
      <c r="G47" s="199" t="s">
        <v>3354</v>
      </c>
      <c r="H47" s="200">
        <v>874.95</v>
      </c>
      <c r="I47" s="199" t="s">
        <v>20</v>
      </c>
      <c r="J47" s="199" t="s">
        <v>415</v>
      </c>
      <c r="K47" s="201">
        <v>45605</v>
      </c>
      <c r="L47" s="199" t="s">
        <v>3319</v>
      </c>
      <c r="M47" s="199" t="s">
        <v>3320</v>
      </c>
    </row>
    <row r="48" spans="1:13" ht="185.25">
      <c r="A48" s="199">
        <v>47</v>
      </c>
      <c r="B48" s="199" t="s">
        <v>3378</v>
      </c>
      <c r="C48" s="199" t="s">
        <v>34</v>
      </c>
      <c r="D48" s="199" t="s">
        <v>35</v>
      </c>
      <c r="E48" s="199">
        <v>40</v>
      </c>
      <c r="F48" s="199" t="s">
        <v>560</v>
      </c>
      <c r="G48" s="199" t="s">
        <v>3354</v>
      </c>
      <c r="H48" s="200">
        <v>2333.1999999999998</v>
      </c>
      <c r="I48" s="199" t="s">
        <v>20</v>
      </c>
      <c r="J48" s="199" t="s">
        <v>415</v>
      </c>
      <c r="K48" s="201">
        <v>45605</v>
      </c>
      <c r="L48" s="199" t="s">
        <v>3319</v>
      </c>
      <c r="M48" s="199" t="s">
        <v>3320</v>
      </c>
    </row>
    <row r="49" spans="1:13" ht="85.5">
      <c r="A49" s="199">
        <v>48</v>
      </c>
      <c r="B49" s="199" t="s">
        <v>3379</v>
      </c>
      <c r="C49" s="199" t="s">
        <v>34</v>
      </c>
      <c r="D49" s="199" t="s">
        <v>35</v>
      </c>
      <c r="E49" s="199">
        <v>3000</v>
      </c>
      <c r="F49" s="199" t="s">
        <v>8</v>
      </c>
      <c r="G49" s="199" t="s">
        <v>3354</v>
      </c>
      <c r="H49" s="200">
        <v>1770</v>
      </c>
      <c r="I49" s="199" t="s">
        <v>20</v>
      </c>
      <c r="J49" s="199" t="s">
        <v>415</v>
      </c>
      <c r="K49" s="201">
        <v>45605</v>
      </c>
      <c r="L49" s="199" t="s">
        <v>3319</v>
      </c>
      <c r="M49" s="199" t="s">
        <v>3320</v>
      </c>
    </row>
    <row r="50" spans="1:13" ht="85.5">
      <c r="A50" s="199">
        <v>49</v>
      </c>
      <c r="B50" s="199" t="s">
        <v>3380</v>
      </c>
      <c r="C50" s="199" t="s">
        <v>34</v>
      </c>
      <c r="D50" s="199" t="s">
        <v>35</v>
      </c>
      <c r="E50" s="199">
        <v>4000</v>
      </c>
      <c r="F50" s="199" t="s">
        <v>8</v>
      </c>
      <c r="G50" s="199" t="s">
        <v>3354</v>
      </c>
      <c r="H50" s="200">
        <v>3840</v>
      </c>
      <c r="I50" s="199" t="s">
        <v>20</v>
      </c>
      <c r="J50" s="199" t="s">
        <v>415</v>
      </c>
      <c r="K50" s="201">
        <v>45605</v>
      </c>
      <c r="L50" s="199" t="s">
        <v>3319</v>
      </c>
      <c r="M50" s="199" t="s">
        <v>3320</v>
      </c>
    </row>
    <row r="51" spans="1:13" ht="85.5">
      <c r="A51" s="199">
        <v>50</v>
      </c>
      <c r="B51" s="199" t="s">
        <v>3381</v>
      </c>
      <c r="C51" s="199" t="s">
        <v>34</v>
      </c>
      <c r="D51" s="199" t="s">
        <v>35</v>
      </c>
      <c r="E51" s="199">
        <v>800</v>
      </c>
      <c r="F51" s="199" t="s">
        <v>8</v>
      </c>
      <c r="G51" s="199" t="s">
        <v>3354</v>
      </c>
      <c r="H51" s="200">
        <v>344</v>
      </c>
      <c r="I51" s="199" t="s">
        <v>20</v>
      </c>
      <c r="J51" s="199" t="s">
        <v>415</v>
      </c>
      <c r="K51" s="201">
        <v>45605</v>
      </c>
      <c r="L51" s="199" t="s">
        <v>3319</v>
      </c>
      <c r="M51" s="199" t="s">
        <v>3320</v>
      </c>
    </row>
    <row r="52" spans="1:13" ht="85.5">
      <c r="A52" s="199">
        <v>51</v>
      </c>
      <c r="B52" s="199" t="s">
        <v>3382</v>
      </c>
      <c r="C52" s="199" t="s">
        <v>34</v>
      </c>
      <c r="D52" s="199" t="s">
        <v>35</v>
      </c>
      <c r="E52" s="199">
        <v>2000</v>
      </c>
      <c r="F52" s="199" t="s">
        <v>8</v>
      </c>
      <c r="G52" s="199" t="s">
        <v>3354</v>
      </c>
      <c r="H52" s="200">
        <v>1180</v>
      </c>
      <c r="I52" s="199" t="s">
        <v>20</v>
      </c>
      <c r="J52" s="199" t="s">
        <v>415</v>
      </c>
      <c r="K52" s="201">
        <v>45605</v>
      </c>
      <c r="L52" s="199" t="s">
        <v>3319</v>
      </c>
      <c r="M52" s="199" t="s">
        <v>3320</v>
      </c>
    </row>
    <row r="53" spans="1:13" ht="85.5">
      <c r="A53" s="199">
        <v>52</v>
      </c>
      <c r="B53" s="199" t="s">
        <v>3383</v>
      </c>
      <c r="C53" s="199" t="s">
        <v>34</v>
      </c>
      <c r="D53" s="199" t="s">
        <v>35</v>
      </c>
      <c r="E53" s="199">
        <v>4000</v>
      </c>
      <c r="F53" s="199" t="s">
        <v>8</v>
      </c>
      <c r="G53" s="199" t="s">
        <v>3354</v>
      </c>
      <c r="H53" s="200">
        <v>2280</v>
      </c>
      <c r="I53" s="199" t="s">
        <v>20</v>
      </c>
      <c r="J53" s="199" t="s">
        <v>415</v>
      </c>
      <c r="K53" s="201">
        <v>45605</v>
      </c>
      <c r="L53" s="199" t="s">
        <v>3319</v>
      </c>
      <c r="M53" s="199" t="s">
        <v>3320</v>
      </c>
    </row>
    <row r="54" spans="1:13" ht="85.5">
      <c r="A54" s="199">
        <v>53</v>
      </c>
      <c r="B54" s="199" t="s">
        <v>3384</v>
      </c>
      <c r="C54" s="199" t="s">
        <v>25</v>
      </c>
      <c r="D54" s="199" t="s">
        <v>17</v>
      </c>
      <c r="E54" s="199">
        <v>7200</v>
      </c>
      <c r="F54" s="199" t="s">
        <v>3312</v>
      </c>
      <c r="G54" s="199" t="s">
        <v>3385</v>
      </c>
      <c r="H54" s="200">
        <v>37080</v>
      </c>
      <c r="I54" s="199" t="s">
        <v>38</v>
      </c>
      <c r="J54" s="199" t="s">
        <v>415</v>
      </c>
      <c r="K54" s="201">
        <v>45113</v>
      </c>
      <c r="L54" s="199" t="s">
        <v>3386</v>
      </c>
      <c r="M54" s="199" t="s">
        <v>3320</v>
      </c>
    </row>
    <row r="55" spans="1:13" ht="85.5">
      <c r="A55" s="199">
        <v>54</v>
      </c>
      <c r="B55" s="199" t="s">
        <v>3387</v>
      </c>
      <c r="C55" s="199" t="s">
        <v>25</v>
      </c>
      <c r="D55" s="199" t="s">
        <v>17</v>
      </c>
      <c r="E55" s="199">
        <v>1200</v>
      </c>
      <c r="F55" s="199" t="s">
        <v>3312</v>
      </c>
      <c r="G55" s="199" t="s">
        <v>3385</v>
      </c>
      <c r="H55" s="200">
        <v>5736</v>
      </c>
      <c r="I55" s="199" t="s">
        <v>38</v>
      </c>
      <c r="J55" s="199" t="s">
        <v>415</v>
      </c>
      <c r="K55" s="201">
        <v>45113</v>
      </c>
      <c r="L55" s="199" t="s">
        <v>3386</v>
      </c>
      <c r="M55" s="199" t="s">
        <v>3320</v>
      </c>
    </row>
    <row r="56" spans="1:13" ht="85.5">
      <c r="A56" s="199">
        <v>55</v>
      </c>
      <c r="B56" s="199" t="s">
        <v>3388</v>
      </c>
      <c r="C56" s="199" t="s">
        <v>25</v>
      </c>
      <c r="D56" s="199" t="s">
        <v>17</v>
      </c>
      <c r="E56" s="199">
        <v>50</v>
      </c>
      <c r="F56" s="199" t="s">
        <v>3385</v>
      </c>
      <c r="G56" s="199" t="s">
        <v>3385</v>
      </c>
      <c r="H56" s="200">
        <v>10950.5</v>
      </c>
      <c r="I56" s="199" t="s">
        <v>38</v>
      </c>
      <c r="J56" s="199" t="s">
        <v>415</v>
      </c>
      <c r="K56" s="201">
        <v>45563</v>
      </c>
      <c r="L56" s="199" t="s">
        <v>3389</v>
      </c>
      <c r="M56" s="199" t="s">
        <v>3320</v>
      </c>
    </row>
    <row r="57" spans="1:13" ht="71.25">
      <c r="A57" s="199">
        <v>56</v>
      </c>
      <c r="B57" s="199" t="s">
        <v>3390</v>
      </c>
      <c r="C57" s="199" t="s">
        <v>25</v>
      </c>
      <c r="D57" s="199" t="s">
        <v>17</v>
      </c>
      <c r="E57" s="199">
        <v>120</v>
      </c>
      <c r="F57" s="199" t="s">
        <v>3385</v>
      </c>
      <c r="G57" s="199" t="s">
        <v>3385</v>
      </c>
      <c r="H57" s="200">
        <v>25756.799999999999</v>
      </c>
      <c r="I57" s="199" t="s">
        <v>38</v>
      </c>
      <c r="J57" s="199" t="s">
        <v>415</v>
      </c>
      <c r="K57" s="201">
        <v>45563</v>
      </c>
      <c r="L57" s="199" t="s">
        <v>3389</v>
      </c>
      <c r="M57" s="199" t="s">
        <v>3320</v>
      </c>
    </row>
    <row r="58" spans="1:13" ht="85.5">
      <c r="A58" s="199">
        <v>57</v>
      </c>
      <c r="B58" s="199" t="s">
        <v>3391</v>
      </c>
      <c r="C58" s="199" t="s">
        <v>25</v>
      </c>
      <c r="D58" s="199" t="s">
        <v>17</v>
      </c>
      <c r="E58" s="199">
        <v>350</v>
      </c>
      <c r="F58" s="199" t="s">
        <v>3385</v>
      </c>
      <c r="G58" s="199" t="s">
        <v>3385</v>
      </c>
      <c r="H58" s="200">
        <v>72817.5</v>
      </c>
      <c r="I58" s="199" t="s">
        <v>38</v>
      </c>
      <c r="J58" s="199" t="s">
        <v>415</v>
      </c>
      <c r="K58" s="201">
        <v>45563</v>
      </c>
      <c r="L58" s="199" t="s">
        <v>3389</v>
      </c>
      <c r="M58" s="199" t="s">
        <v>3320</v>
      </c>
    </row>
    <row r="59" spans="1:13" ht="85.5">
      <c r="A59" s="199">
        <v>58</v>
      </c>
      <c r="B59" s="199" t="s">
        <v>3392</v>
      </c>
      <c r="C59" s="199" t="s">
        <v>25</v>
      </c>
      <c r="D59" s="199" t="s">
        <v>17</v>
      </c>
      <c r="E59" s="199">
        <v>80</v>
      </c>
      <c r="F59" s="199" t="s">
        <v>3385</v>
      </c>
      <c r="G59" s="199" t="s">
        <v>3385</v>
      </c>
      <c r="H59" s="200">
        <v>16804</v>
      </c>
      <c r="I59" s="199" t="s">
        <v>38</v>
      </c>
      <c r="J59" s="199" t="s">
        <v>415</v>
      </c>
      <c r="K59" s="201">
        <v>45563</v>
      </c>
      <c r="L59" s="199" t="s">
        <v>3389</v>
      </c>
      <c r="M59" s="199" t="s">
        <v>3320</v>
      </c>
    </row>
    <row r="60" spans="1:13" ht="99.75">
      <c r="A60" s="199">
        <v>59</v>
      </c>
      <c r="B60" s="199" t="s">
        <v>3393</v>
      </c>
      <c r="C60" s="199" t="s">
        <v>25</v>
      </c>
      <c r="D60" s="199" t="s">
        <v>17</v>
      </c>
      <c r="E60" s="199">
        <v>200</v>
      </c>
      <c r="F60" s="199" t="s">
        <v>3385</v>
      </c>
      <c r="G60" s="199" t="s">
        <v>3385</v>
      </c>
      <c r="H60" s="200">
        <v>22122</v>
      </c>
      <c r="I60" s="199" t="s">
        <v>38</v>
      </c>
      <c r="J60" s="199" t="s">
        <v>415</v>
      </c>
      <c r="K60" s="201">
        <v>45563</v>
      </c>
      <c r="L60" s="199" t="s">
        <v>3389</v>
      </c>
      <c r="M60" s="199" t="s">
        <v>3320</v>
      </c>
    </row>
    <row r="61" spans="1:13" ht="57">
      <c r="A61" s="199">
        <v>60</v>
      </c>
      <c r="B61" s="199" t="s">
        <v>3394</v>
      </c>
      <c r="C61" s="199" t="s">
        <v>25</v>
      </c>
      <c r="D61" s="199" t="s">
        <v>17</v>
      </c>
      <c r="E61" s="199">
        <v>250</v>
      </c>
      <c r="F61" s="199" t="s">
        <v>3385</v>
      </c>
      <c r="G61" s="199" t="s">
        <v>3385</v>
      </c>
      <c r="H61" s="200">
        <v>47285</v>
      </c>
      <c r="I61" s="199" t="s">
        <v>38</v>
      </c>
      <c r="J61" s="199" t="s">
        <v>415</v>
      </c>
      <c r="K61" s="201">
        <v>45563</v>
      </c>
      <c r="L61" s="199" t="s">
        <v>3389</v>
      </c>
      <c r="M61" s="199" t="s">
        <v>3320</v>
      </c>
    </row>
    <row r="62" spans="1:13" ht="57">
      <c r="A62" s="199">
        <v>61</v>
      </c>
      <c r="B62" s="199" t="s">
        <v>3395</v>
      </c>
      <c r="C62" s="199" t="s">
        <v>25</v>
      </c>
      <c r="D62" s="199" t="s">
        <v>17</v>
      </c>
      <c r="E62" s="199">
        <v>500</v>
      </c>
      <c r="F62" s="199" t="s">
        <v>3385</v>
      </c>
      <c r="G62" s="199" t="s">
        <v>3385</v>
      </c>
      <c r="H62" s="200">
        <v>47285</v>
      </c>
      <c r="I62" s="199" t="s">
        <v>38</v>
      </c>
      <c r="J62" s="199" t="s">
        <v>415</v>
      </c>
      <c r="K62" s="201">
        <v>45563</v>
      </c>
      <c r="L62" s="199" t="s">
        <v>3389</v>
      </c>
      <c r="M62" s="199" t="s">
        <v>3320</v>
      </c>
    </row>
    <row r="63" spans="1:13" ht="99.75">
      <c r="A63" s="199">
        <v>62</v>
      </c>
      <c r="B63" s="199" t="s">
        <v>3396</v>
      </c>
      <c r="C63" s="199" t="s">
        <v>25</v>
      </c>
      <c r="D63" s="199" t="s">
        <v>17</v>
      </c>
      <c r="E63" s="199">
        <v>300</v>
      </c>
      <c r="F63" s="199" t="s">
        <v>3385</v>
      </c>
      <c r="G63" s="199" t="s">
        <v>3385</v>
      </c>
      <c r="H63" s="200">
        <v>30168</v>
      </c>
      <c r="I63" s="199" t="s">
        <v>38</v>
      </c>
      <c r="J63" s="199" t="s">
        <v>415</v>
      </c>
      <c r="K63" s="201">
        <v>45563</v>
      </c>
      <c r="L63" s="199" t="s">
        <v>3389</v>
      </c>
      <c r="M63" s="199" t="s">
        <v>3320</v>
      </c>
    </row>
    <row r="64" spans="1:13" ht="57">
      <c r="A64" s="199">
        <v>63</v>
      </c>
      <c r="B64" s="199" t="s">
        <v>3397</v>
      </c>
      <c r="C64" s="199" t="s">
        <v>25</v>
      </c>
      <c r="D64" s="199" t="s">
        <v>17</v>
      </c>
      <c r="E64" s="199">
        <v>2500</v>
      </c>
      <c r="F64" s="199" t="s">
        <v>3385</v>
      </c>
      <c r="G64" s="199" t="s">
        <v>3385</v>
      </c>
      <c r="H64" s="200">
        <v>251400</v>
      </c>
      <c r="I64" s="199" t="s">
        <v>38</v>
      </c>
      <c r="J64" s="199" t="s">
        <v>415</v>
      </c>
      <c r="K64" s="201">
        <v>45563</v>
      </c>
      <c r="L64" s="199" t="s">
        <v>3389</v>
      </c>
      <c r="M64" s="199" t="s">
        <v>3320</v>
      </c>
    </row>
    <row r="65" spans="1:13" ht="57">
      <c r="A65" s="199">
        <v>64</v>
      </c>
      <c r="B65" s="199" t="s">
        <v>3398</v>
      </c>
      <c r="C65" s="199" t="s">
        <v>25</v>
      </c>
      <c r="D65" s="199" t="s">
        <v>17</v>
      </c>
      <c r="E65" s="199">
        <v>800</v>
      </c>
      <c r="F65" s="199" t="s">
        <v>3385</v>
      </c>
      <c r="G65" s="199" t="s">
        <v>3385</v>
      </c>
      <c r="H65" s="200">
        <v>80448</v>
      </c>
      <c r="I65" s="199" t="s">
        <v>38</v>
      </c>
      <c r="J65" s="199" t="s">
        <v>415</v>
      </c>
      <c r="K65" s="201">
        <v>45563</v>
      </c>
      <c r="L65" s="199" t="s">
        <v>3389</v>
      </c>
      <c r="M65" s="199" t="s">
        <v>3320</v>
      </c>
    </row>
    <row r="66" spans="1:13" ht="57">
      <c r="A66" s="199">
        <v>65</v>
      </c>
      <c r="B66" s="199" t="s">
        <v>3399</v>
      </c>
      <c r="C66" s="199" t="s">
        <v>25</v>
      </c>
      <c r="D66" s="199" t="s">
        <v>17</v>
      </c>
      <c r="E66" s="199">
        <v>1600</v>
      </c>
      <c r="F66" s="199" t="s">
        <v>3385</v>
      </c>
      <c r="G66" s="199" t="s">
        <v>3385</v>
      </c>
      <c r="H66" s="200">
        <v>159280</v>
      </c>
      <c r="I66" s="199" t="s">
        <v>38</v>
      </c>
      <c r="J66" s="199" t="s">
        <v>415</v>
      </c>
      <c r="K66" s="201">
        <v>45563</v>
      </c>
      <c r="L66" s="199" t="s">
        <v>3389</v>
      </c>
      <c r="M66" s="199" t="s">
        <v>3320</v>
      </c>
    </row>
    <row r="67" spans="1:13" ht="57">
      <c r="A67" s="199">
        <v>66</v>
      </c>
      <c r="B67" s="199" t="s">
        <v>3400</v>
      </c>
      <c r="C67" s="199" t="s">
        <v>25</v>
      </c>
      <c r="D67" s="199" t="s">
        <v>17</v>
      </c>
      <c r="E67" s="199">
        <v>100</v>
      </c>
      <c r="F67" s="199" t="s">
        <v>3385</v>
      </c>
      <c r="G67" s="199" t="s">
        <v>3385</v>
      </c>
      <c r="H67" s="200">
        <v>9659</v>
      </c>
      <c r="I67" s="199" t="s">
        <v>38</v>
      </c>
      <c r="J67" s="199" t="s">
        <v>415</v>
      </c>
      <c r="K67" s="201">
        <v>45563</v>
      </c>
      <c r="L67" s="199" t="s">
        <v>3389</v>
      </c>
      <c r="M67" s="199" t="s">
        <v>3320</v>
      </c>
    </row>
    <row r="68" spans="1:13" ht="71.25">
      <c r="A68" s="199">
        <v>67</v>
      </c>
      <c r="B68" s="199" t="s">
        <v>3401</v>
      </c>
      <c r="C68" s="199" t="s">
        <v>25</v>
      </c>
      <c r="D68" s="199" t="s">
        <v>17</v>
      </c>
      <c r="E68" s="199">
        <v>15</v>
      </c>
      <c r="F68" s="199" t="s">
        <v>3385</v>
      </c>
      <c r="G68" s="199" t="s">
        <v>3385</v>
      </c>
      <c r="H68" s="200">
        <v>2638.35</v>
      </c>
      <c r="I68" s="199" t="s">
        <v>38</v>
      </c>
      <c r="J68" s="199" t="s">
        <v>415</v>
      </c>
      <c r="K68" s="201">
        <v>45563</v>
      </c>
      <c r="L68" s="199" t="s">
        <v>3389</v>
      </c>
      <c r="M68" s="199" t="s">
        <v>3320</v>
      </c>
    </row>
    <row r="69" spans="1:13" ht="71.25">
      <c r="A69" s="199">
        <v>68</v>
      </c>
      <c r="B69" s="199" t="s">
        <v>3402</v>
      </c>
      <c r="C69" s="199" t="s">
        <v>25</v>
      </c>
      <c r="D69" s="199" t="s">
        <v>17</v>
      </c>
      <c r="E69" s="199">
        <v>250</v>
      </c>
      <c r="F69" s="199" t="s">
        <v>3385</v>
      </c>
      <c r="G69" s="199" t="s">
        <v>3385</v>
      </c>
      <c r="H69" s="200">
        <v>23667.5</v>
      </c>
      <c r="I69" s="199" t="s">
        <v>38</v>
      </c>
      <c r="J69" s="199" t="s">
        <v>415</v>
      </c>
      <c r="K69" s="201">
        <v>45563</v>
      </c>
      <c r="L69" s="199" t="s">
        <v>3389</v>
      </c>
      <c r="M69" s="199" t="s">
        <v>3320</v>
      </c>
    </row>
    <row r="70" spans="1:13" ht="57">
      <c r="A70" s="199">
        <v>69</v>
      </c>
      <c r="B70" s="199" t="s">
        <v>3403</v>
      </c>
      <c r="C70" s="199" t="s">
        <v>25</v>
      </c>
      <c r="D70" s="199" t="s">
        <v>17</v>
      </c>
      <c r="E70" s="199">
        <v>40</v>
      </c>
      <c r="F70" s="199" t="s">
        <v>3385</v>
      </c>
      <c r="G70" s="199" t="s">
        <v>3385</v>
      </c>
      <c r="H70" s="200">
        <v>8170</v>
      </c>
      <c r="I70" s="199" t="s">
        <v>38</v>
      </c>
      <c r="J70" s="199" t="s">
        <v>415</v>
      </c>
      <c r="K70" s="201">
        <v>45563</v>
      </c>
      <c r="L70" s="199" t="s">
        <v>3389</v>
      </c>
      <c r="M70" s="199" t="s">
        <v>3320</v>
      </c>
    </row>
    <row r="71" spans="1:13" ht="71.25">
      <c r="A71" s="199">
        <v>70</v>
      </c>
      <c r="B71" s="199" t="s">
        <v>3404</v>
      </c>
      <c r="C71" s="199" t="s">
        <v>25</v>
      </c>
      <c r="D71" s="199" t="s">
        <v>17</v>
      </c>
      <c r="E71" s="199">
        <v>60</v>
      </c>
      <c r="F71" s="199" t="s">
        <v>3385</v>
      </c>
      <c r="G71" s="199" t="s">
        <v>3385</v>
      </c>
      <c r="H71" s="200">
        <v>5973</v>
      </c>
      <c r="I71" s="199" t="s">
        <v>38</v>
      </c>
      <c r="J71" s="199" t="s">
        <v>415</v>
      </c>
      <c r="K71" s="201">
        <v>45563</v>
      </c>
      <c r="L71" s="199" t="s">
        <v>3389</v>
      </c>
      <c r="M71" s="199" t="s">
        <v>3320</v>
      </c>
    </row>
    <row r="72" spans="1:13" ht="57">
      <c r="A72" s="199">
        <v>71</v>
      </c>
      <c r="B72" s="199" t="s">
        <v>3405</v>
      </c>
      <c r="C72" s="199" t="s">
        <v>25</v>
      </c>
      <c r="D72" s="199" t="s">
        <v>17</v>
      </c>
      <c r="E72" s="199">
        <v>180</v>
      </c>
      <c r="F72" s="199" t="s">
        <v>3385</v>
      </c>
      <c r="G72" s="199" t="s">
        <v>3385</v>
      </c>
      <c r="H72" s="200">
        <v>17919</v>
      </c>
      <c r="I72" s="199" t="s">
        <v>38</v>
      </c>
      <c r="J72" s="199" t="s">
        <v>415</v>
      </c>
      <c r="K72" s="201">
        <v>45563</v>
      </c>
      <c r="L72" s="199" t="s">
        <v>3389</v>
      </c>
      <c r="M72" s="199" t="s">
        <v>3320</v>
      </c>
    </row>
    <row r="73" spans="1:13" ht="57">
      <c r="A73" s="199">
        <v>72</v>
      </c>
      <c r="B73" s="199" t="s">
        <v>3406</v>
      </c>
      <c r="C73" s="199" t="s">
        <v>25</v>
      </c>
      <c r="D73" s="199" t="s">
        <v>17</v>
      </c>
      <c r="E73" s="199">
        <v>20</v>
      </c>
      <c r="F73" s="199" t="s">
        <v>3385</v>
      </c>
      <c r="G73" s="199" t="s">
        <v>3385</v>
      </c>
      <c r="H73" s="200">
        <v>3098</v>
      </c>
      <c r="I73" s="199" t="s">
        <v>38</v>
      </c>
      <c r="J73" s="199" t="s">
        <v>415</v>
      </c>
      <c r="K73" s="201">
        <v>45563</v>
      </c>
      <c r="L73" s="199" t="s">
        <v>3389</v>
      </c>
      <c r="M73" s="199" t="s">
        <v>3320</v>
      </c>
    </row>
    <row r="74" spans="1:13" ht="57">
      <c r="A74" s="199">
        <v>73</v>
      </c>
      <c r="B74" s="199" t="s">
        <v>3407</v>
      </c>
      <c r="C74" s="199" t="s">
        <v>25</v>
      </c>
      <c r="D74" s="199" t="s">
        <v>17</v>
      </c>
      <c r="E74" s="199">
        <v>1900</v>
      </c>
      <c r="F74" s="199" t="s">
        <v>3385</v>
      </c>
      <c r="G74" s="199" t="s">
        <v>3385</v>
      </c>
      <c r="H74" s="200">
        <v>191064</v>
      </c>
      <c r="I74" s="199" t="s">
        <v>38</v>
      </c>
      <c r="J74" s="199" t="s">
        <v>415</v>
      </c>
      <c r="K74" s="201">
        <v>45563</v>
      </c>
      <c r="L74" s="199" t="s">
        <v>3389</v>
      </c>
      <c r="M74" s="199" t="s">
        <v>3320</v>
      </c>
    </row>
    <row r="75" spans="1:13" ht="57">
      <c r="A75" s="199">
        <v>74</v>
      </c>
      <c r="B75" s="199" t="s">
        <v>3408</v>
      </c>
      <c r="C75" s="199" t="s">
        <v>25</v>
      </c>
      <c r="D75" s="199" t="s">
        <v>17</v>
      </c>
      <c r="E75" s="199">
        <v>600</v>
      </c>
      <c r="F75" s="199" t="s">
        <v>3385</v>
      </c>
      <c r="G75" s="199" t="s">
        <v>3385</v>
      </c>
      <c r="H75" s="200">
        <v>134076</v>
      </c>
      <c r="I75" s="199" t="s">
        <v>38</v>
      </c>
      <c r="J75" s="199" t="s">
        <v>415</v>
      </c>
      <c r="K75" s="201">
        <v>45563</v>
      </c>
      <c r="L75" s="199" t="s">
        <v>3389</v>
      </c>
      <c r="M75" s="199" t="s">
        <v>3320</v>
      </c>
    </row>
    <row r="76" spans="1:13" ht="71.25">
      <c r="A76" s="199">
        <v>75</v>
      </c>
      <c r="B76" s="199" t="s">
        <v>3409</v>
      </c>
      <c r="C76" s="199" t="s">
        <v>25</v>
      </c>
      <c r="D76" s="199" t="s">
        <v>17</v>
      </c>
      <c r="E76" s="199">
        <v>400</v>
      </c>
      <c r="F76" s="199" t="s">
        <v>3385</v>
      </c>
      <c r="G76" s="199" t="s">
        <v>3385</v>
      </c>
      <c r="H76" s="200">
        <v>37868</v>
      </c>
      <c r="I76" s="199" t="s">
        <v>38</v>
      </c>
      <c r="J76" s="199" t="s">
        <v>415</v>
      </c>
      <c r="K76" s="201">
        <v>45563</v>
      </c>
      <c r="L76" s="199" t="s">
        <v>3389</v>
      </c>
      <c r="M76" s="199" t="s">
        <v>3320</v>
      </c>
    </row>
    <row r="77" spans="1:13" ht="57">
      <c r="A77" s="199">
        <v>76</v>
      </c>
      <c r="B77" s="199" t="s">
        <v>3410</v>
      </c>
      <c r="C77" s="199" t="s">
        <v>25</v>
      </c>
      <c r="D77" s="199" t="s">
        <v>17</v>
      </c>
      <c r="E77" s="199">
        <v>2000</v>
      </c>
      <c r="F77" s="199" t="s">
        <v>3385</v>
      </c>
      <c r="G77" s="199" t="s">
        <v>3385</v>
      </c>
      <c r="H77" s="200">
        <v>197100</v>
      </c>
      <c r="I77" s="199" t="s">
        <v>38</v>
      </c>
      <c r="J77" s="199" t="s">
        <v>415</v>
      </c>
      <c r="K77" s="201">
        <v>45563</v>
      </c>
      <c r="L77" s="199" t="s">
        <v>3389</v>
      </c>
      <c r="M77" s="199" t="s">
        <v>3320</v>
      </c>
    </row>
    <row r="78" spans="1:13" ht="71.25">
      <c r="A78" s="199">
        <v>77</v>
      </c>
      <c r="B78" s="199" t="s">
        <v>3411</v>
      </c>
      <c r="C78" s="199" t="s">
        <v>25</v>
      </c>
      <c r="D78" s="199" t="s">
        <v>17</v>
      </c>
      <c r="E78" s="199">
        <v>1000</v>
      </c>
      <c r="F78" s="199" t="s">
        <v>3385</v>
      </c>
      <c r="G78" s="199" t="s">
        <v>3385</v>
      </c>
      <c r="H78" s="200">
        <v>173510</v>
      </c>
      <c r="I78" s="199" t="s">
        <v>38</v>
      </c>
      <c r="J78" s="199" t="s">
        <v>415</v>
      </c>
      <c r="K78" s="201">
        <v>45563</v>
      </c>
      <c r="L78" s="199" t="s">
        <v>3389</v>
      </c>
      <c r="M78" s="199" t="s">
        <v>3320</v>
      </c>
    </row>
    <row r="79" spans="1:13" ht="57">
      <c r="A79" s="199">
        <v>78</v>
      </c>
      <c r="B79" s="199" t="s">
        <v>3412</v>
      </c>
      <c r="C79" s="199" t="s">
        <v>25</v>
      </c>
      <c r="D79" s="199" t="s">
        <v>17</v>
      </c>
      <c r="E79" s="199">
        <v>350</v>
      </c>
      <c r="F79" s="199" t="s">
        <v>3385</v>
      </c>
      <c r="G79" s="199" t="s">
        <v>3385</v>
      </c>
      <c r="H79" s="200">
        <v>30047.5</v>
      </c>
      <c r="I79" s="199" t="s">
        <v>38</v>
      </c>
      <c r="J79" s="199" t="s">
        <v>415</v>
      </c>
      <c r="K79" s="201">
        <v>45563</v>
      </c>
      <c r="L79" s="199" t="s">
        <v>3389</v>
      </c>
      <c r="M79" s="199" t="s">
        <v>3320</v>
      </c>
    </row>
    <row r="80" spans="1:13" ht="57">
      <c r="A80" s="199">
        <v>79</v>
      </c>
      <c r="B80" s="199" t="s">
        <v>3413</v>
      </c>
      <c r="C80" s="199" t="s">
        <v>25</v>
      </c>
      <c r="D80" s="199" t="s">
        <v>17</v>
      </c>
      <c r="E80" s="199">
        <v>550</v>
      </c>
      <c r="F80" s="199" t="s">
        <v>3385</v>
      </c>
      <c r="G80" s="199" t="s">
        <v>3385</v>
      </c>
      <c r="H80" s="200">
        <v>48180</v>
      </c>
      <c r="I80" s="199" t="s">
        <v>38</v>
      </c>
      <c r="J80" s="199" t="s">
        <v>415</v>
      </c>
      <c r="K80" s="201">
        <v>45563</v>
      </c>
      <c r="L80" s="199" t="s">
        <v>3389</v>
      </c>
      <c r="M80" s="199" t="s">
        <v>3320</v>
      </c>
    </row>
    <row r="81" spans="1:13" ht="57">
      <c r="A81" s="199">
        <v>80</v>
      </c>
      <c r="B81" s="199" t="s">
        <v>3414</v>
      </c>
      <c r="C81" s="199" t="s">
        <v>25</v>
      </c>
      <c r="D81" s="199" t="s">
        <v>17</v>
      </c>
      <c r="E81" s="199">
        <v>80</v>
      </c>
      <c r="F81" s="199" t="s">
        <v>3385</v>
      </c>
      <c r="G81" s="199" t="s">
        <v>3385</v>
      </c>
      <c r="H81" s="200">
        <v>15729.6</v>
      </c>
      <c r="I81" s="199" t="s">
        <v>38</v>
      </c>
      <c r="J81" s="199" t="s">
        <v>415</v>
      </c>
      <c r="K81" s="201">
        <v>45563</v>
      </c>
      <c r="L81" s="199" t="s">
        <v>3389</v>
      </c>
      <c r="M81" s="199" t="s">
        <v>3320</v>
      </c>
    </row>
    <row r="82" spans="1:13" ht="57">
      <c r="A82" s="199">
        <v>81</v>
      </c>
      <c r="B82" s="199" t="s">
        <v>3415</v>
      </c>
      <c r="C82" s="199" t="s">
        <v>25</v>
      </c>
      <c r="D82" s="199" t="s">
        <v>17</v>
      </c>
      <c r="E82" s="199">
        <v>2000</v>
      </c>
      <c r="F82" s="199" t="s">
        <v>3385</v>
      </c>
      <c r="G82" s="199" t="s">
        <v>3385</v>
      </c>
      <c r="H82" s="200">
        <v>185560</v>
      </c>
      <c r="I82" s="199" t="s">
        <v>38</v>
      </c>
      <c r="J82" s="199" t="s">
        <v>415</v>
      </c>
      <c r="K82" s="201">
        <v>45563</v>
      </c>
      <c r="L82" s="199" t="s">
        <v>3389</v>
      </c>
      <c r="M82" s="199" t="s">
        <v>3320</v>
      </c>
    </row>
    <row r="83" spans="1:13" ht="71.25">
      <c r="A83" s="199">
        <v>82</v>
      </c>
      <c r="B83" s="199" t="s">
        <v>3416</v>
      </c>
      <c r="C83" s="199" t="s">
        <v>25</v>
      </c>
      <c r="D83" s="199" t="s">
        <v>17</v>
      </c>
      <c r="E83" s="199">
        <v>19</v>
      </c>
      <c r="F83" s="199" t="s">
        <v>3385</v>
      </c>
      <c r="G83" s="199" t="s">
        <v>3385</v>
      </c>
      <c r="H83" s="200">
        <v>293.36</v>
      </c>
      <c r="I83" s="199" t="s">
        <v>38</v>
      </c>
      <c r="J83" s="199" t="s">
        <v>415</v>
      </c>
      <c r="K83" s="201">
        <v>45510</v>
      </c>
      <c r="L83" s="199" t="s">
        <v>3417</v>
      </c>
      <c r="M83" s="199" t="s">
        <v>3320</v>
      </c>
    </row>
    <row r="84" spans="1:13" ht="85.5">
      <c r="A84" s="199">
        <v>83</v>
      </c>
      <c r="B84" s="199" t="s">
        <v>3418</v>
      </c>
      <c r="C84" s="199" t="s">
        <v>25</v>
      </c>
      <c r="D84" s="199" t="s">
        <v>17</v>
      </c>
      <c r="E84" s="199">
        <v>20</v>
      </c>
      <c r="F84" s="199" t="s">
        <v>3385</v>
      </c>
      <c r="G84" s="199" t="s">
        <v>3385</v>
      </c>
      <c r="H84" s="200">
        <v>320</v>
      </c>
      <c r="I84" s="199" t="s">
        <v>38</v>
      </c>
      <c r="J84" s="199" t="s">
        <v>415</v>
      </c>
      <c r="K84" s="201">
        <v>45511</v>
      </c>
      <c r="L84" s="199" t="s">
        <v>3417</v>
      </c>
      <c r="M84" s="199" t="s">
        <v>3320</v>
      </c>
    </row>
    <row r="85" spans="1:13" ht="71.25">
      <c r="A85" s="199">
        <v>84</v>
      </c>
      <c r="B85" s="199" t="s">
        <v>3419</v>
      </c>
      <c r="C85" s="199" t="s">
        <v>25</v>
      </c>
      <c r="D85" s="199" t="s">
        <v>17</v>
      </c>
      <c r="E85" s="199">
        <v>20</v>
      </c>
      <c r="F85" s="199" t="s">
        <v>3385</v>
      </c>
      <c r="G85" s="199" t="s">
        <v>3385</v>
      </c>
      <c r="H85" s="200">
        <v>298.39999999999998</v>
      </c>
      <c r="I85" s="199" t="s">
        <v>38</v>
      </c>
      <c r="J85" s="199" t="s">
        <v>415</v>
      </c>
      <c r="K85" s="201">
        <v>45512</v>
      </c>
      <c r="L85" s="199" t="s">
        <v>3417</v>
      </c>
      <c r="M85" s="199" t="s">
        <v>3320</v>
      </c>
    </row>
    <row r="86" spans="1:13" ht="71.25">
      <c r="A86" s="199">
        <v>85</v>
      </c>
      <c r="B86" s="199" t="s">
        <v>3420</v>
      </c>
      <c r="C86" s="199" t="s">
        <v>25</v>
      </c>
      <c r="D86" s="199" t="s">
        <v>17</v>
      </c>
      <c r="E86" s="199">
        <v>20</v>
      </c>
      <c r="F86" s="199" t="s">
        <v>3385</v>
      </c>
      <c r="G86" s="199" t="s">
        <v>3385</v>
      </c>
      <c r="H86" s="200">
        <v>294</v>
      </c>
      <c r="I86" s="199" t="s">
        <v>38</v>
      </c>
      <c r="J86" s="199" t="s">
        <v>415</v>
      </c>
      <c r="K86" s="201">
        <v>45513</v>
      </c>
      <c r="L86" s="199" t="s">
        <v>3417</v>
      </c>
      <c r="M86" s="199" t="s">
        <v>3320</v>
      </c>
    </row>
    <row r="87" spans="1:13" ht="71.25">
      <c r="A87" s="199">
        <v>86</v>
      </c>
      <c r="B87" s="199" t="s">
        <v>3421</v>
      </c>
      <c r="C87" s="199" t="s">
        <v>25</v>
      </c>
      <c r="D87" s="199" t="s">
        <v>17</v>
      </c>
      <c r="E87" s="199">
        <v>50</v>
      </c>
      <c r="F87" s="199" t="s">
        <v>3385</v>
      </c>
      <c r="G87" s="199" t="s">
        <v>3385</v>
      </c>
      <c r="H87" s="200">
        <v>868.5</v>
      </c>
      <c r="I87" s="199" t="s">
        <v>38</v>
      </c>
      <c r="J87" s="199" t="s">
        <v>415</v>
      </c>
      <c r="K87" s="201">
        <v>45514</v>
      </c>
      <c r="L87" s="199" t="s">
        <v>3417</v>
      </c>
      <c r="M87" s="199" t="s">
        <v>3320</v>
      </c>
    </row>
    <row r="88" spans="1:13" ht="99.75">
      <c r="A88" s="199">
        <v>87</v>
      </c>
      <c r="B88" s="199" t="s">
        <v>3422</v>
      </c>
      <c r="C88" s="199" t="s">
        <v>25</v>
      </c>
      <c r="D88" s="199" t="s">
        <v>17</v>
      </c>
      <c r="E88" s="199">
        <v>150</v>
      </c>
      <c r="F88" s="199" t="s">
        <v>3385</v>
      </c>
      <c r="G88" s="199" t="s">
        <v>3385</v>
      </c>
      <c r="H88" s="200">
        <v>2823</v>
      </c>
      <c r="I88" s="199" t="s">
        <v>38</v>
      </c>
      <c r="J88" s="199" t="s">
        <v>415</v>
      </c>
      <c r="K88" s="201">
        <v>45515</v>
      </c>
      <c r="L88" s="199" t="s">
        <v>3417</v>
      </c>
      <c r="M88" s="199" t="s">
        <v>3320</v>
      </c>
    </row>
    <row r="89" spans="1:13" ht="71.25">
      <c r="A89" s="199">
        <v>88</v>
      </c>
      <c r="B89" s="199" t="s">
        <v>3423</v>
      </c>
      <c r="C89" s="199" t="s">
        <v>25</v>
      </c>
      <c r="D89" s="199" t="s">
        <v>17</v>
      </c>
      <c r="E89" s="199">
        <v>95</v>
      </c>
      <c r="F89" s="199" t="s">
        <v>3385</v>
      </c>
      <c r="G89" s="199" t="s">
        <v>3385</v>
      </c>
      <c r="H89" s="200">
        <v>1414.55</v>
      </c>
      <c r="I89" s="199" t="s">
        <v>38</v>
      </c>
      <c r="J89" s="199" t="s">
        <v>415</v>
      </c>
      <c r="K89" s="201">
        <v>45516</v>
      </c>
      <c r="L89" s="199" t="s">
        <v>3417</v>
      </c>
      <c r="M89" s="199" t="s">
        <v>3320</v>
      </c>
    </row>
    <row r="90" spans="1:13" ht="71.25">
      <c r="A90" s="199">
        <v>89</v>
      </c>
      <c r="B90" s="199" t="s">
        <v>3424</v>
      </c>
      <c r="C90" s="199" t="s">
        <v>25</v>
      </c>
      <c r="D90" s="199" t="s">
        <v>17</v>
      </c>
      <c r="E90" s="199">
        <v>158</v>
      </c>
      <c r="F90" s="199" t="s">
        <v>3385</v>
      </c>
      <c r="G90" s="199" t="s">
        <v>3385</v>
      </c>
      <c r="H90" s="200">
        <v>2243.6</v>
      </c>
      <c r="I90" s="199" t="s">
        <v>38</v>
      </c>
      <c r="J90" s="199" t="s">
        <v>415</v>
      </c>
      <c r="K90" s="201">
        <v>45517</v>
      </c>
      <c r="L90" s="199" t="s">
        <v>3417</v>
      </c>
      <c r="M90" s="199" t="s">
        <v>3320</v>
      </c>
    </row>
    <row r="91" spans="1:13" ht="71.25">
      <c r="A91" s="199">
        <v>90</v>
      </c>
      <c r="B91" s="199" t="s">
        <v>3425</v>
      </c>
      <c r="C91" s="199" t="s">
        <v>25</v>
      </c>
      <c r="D91" s="199" t="s">
        <v>17</v>
      </c>
      <c r="E91" s="199">
        <v>20</v>
      </c>
      <c r="F91" s="199" t="s">
        <v>3385</v>
      </c>
      <c r="G91" s="199" t="s">
        <v>3385</v>
      </c>
      <c r="H91" s="200">
        <v>308.8</v>
      </c>
      <c r="I91" s="199" t="s">
        <v>38</v>
      </c>
      <c r="J91" s="199" t="s">
        <v>415</v>
      </c>
      <c r="K91" s="201">
        <v>45518</v>
      </c>
      <c r="L91" s="199" t="s">
        <v>3417</v>
      </c>
      <c r="M91" s="199" t="s">
        <v>3320</v>
      </c>
    </row>
    <row r="92" spans="1:13" ht="71.25">
      <c r="A92" s="199">
        <v>91</v>
      </c>
      <c r="B92" s="199" t="s">
        <v>3426</v>
      </c>
      <c r="C92" s="199" t="s">
        <v>25</v>
      </c>
      <c r="D92" s="199" t="s">
        <v>17</v>
      </c>
      <c r="E92" s="199">
        <v>10</v>
      </c>
      <c r="F92" s="199" t="s">
        <v>3385</v>
      </c>
      <c r="G92" s="199" t="s">
        <v>3385</v>
      </c>
      <c r="H92" s="200">
        <v>154.4</v>
      </c>
      <c r="I92" s="199" t="s">
        <v>38</v>
      </c>
      <c r="J92" s="199" t="s">
        <v>415</v>
      </c>
      <c r="K92" s="201">
        <v>45519</v>
      </c>
      <c r="L92" s="199" t="s">
        <v>3417</v>
      </c>
      <c r="M92" s="199" t="s">
        <v>3320</v>
      </c>
    </row>
    <row r="93" spans="1:13" ht="85.5">
      <c r="A93" s="199">
        <v>92</v>
      </c>
      <c r="B93" s="199" t="s">
        <v>3427</v>
      </c>
      <c r="C93" s="199" t="s">
        <v>25</v>
      </c>
      <c r="D93" s="199" t="s">
        <v>17</v>
      </c>
      <c r="E93" s="199">
        <v>20</v>
      </c>
      <c r="F93" s="199" t="s">
        <v>3385</v>
      </c>
      <c r="G93" s="199" t="s">
        <v>3385</v>
      </c>
      <c r="H93" s="200">
        <v>294</v>
      </c>
      <c r="I93" s="199" t="s">
        <v>38</v>
      </c>
      <c r="J93" s="199" t="s">
        <v>415</v>
      </c>
      <c r="K93" s="201">
        <v>45520</v>
      </c>
      <c r="L93" s="199" t="s">
        <v>3417</v>
      </c>
      <c r="M93" s="199" t="s">
        <v>3320</v>
      </c>
    </row>
    <row r="94" spans="1:13" ht="71.25">
      <c r="A94" s="199">
        <v>93</v>
      </c>
      <c r="B94" s="199" t="s">
        <v>3428</v>
      </c>
      <c r="C94" s="199" t="s">
        <v>25</v>
      </c>
      <c r="D94" s="199" t="s">
        <v>17</v>
      </c>
      <c r="E94" s="199">
        <v>40</v>
      </c>
      <c r="F94" s="199" t="s">
        <v>3385</v>
      </c>
      <c r="G94" s="199" t="s">
        <v>3385</v>
      </c>
      <c r="H94" s="200">
        <v>660.8</v>
      </c>
      <c r="I94" s="199" t="s">
        <v>38</v>
      </c>
      <c r="J94" s="199" t="s">
        <v>415</v>
      </c>
      <c r="K94" s="201">
        <v>45521</v>
      </c>
      <c r="L94" s="199" t="s">
        <v>3417</v>
      </c>
      <c r="M94" s="199" t="s">
        <v>3320</v>
      </c>
    </row>
    <row r="95" spans="1:13" ht="71.25">
      <c r="A95" s="199">
        <v>94</v>
      </c>
      <c r="B95" s="199" t="s">
        <v>3429</v>
      </c>
      <c r="C95" s="199" t="s">
        <v>25</v>
      </c>
      <c r="D95" s="199" t="s">
        <v>17</v>
      </c>
      <c r="E95" s="199">
        <v>10</v>
      </c>
      <c r="F95" s="199" t="s">
        <v>3385</v>
      </c>
      <c r="G95" s="199" t="s">
        <v>3385</v>
      </c>
      <c r="H95" s="200">
        <v>154.4</v>
      </c>
      <c r="I95" s="199" t="s">
        <v>38</v>
      </c>
      <c r="J95" s="199" t="s">
        <v>415</v>
      </c>
      <c r="K95" s="201">
        <v>45522</v>
      </c>
      <c r="L95" s="199" t="s">
        <v>3417</v>
      </c>
      <c r="M95" s="199" t="s">
        <v>3320</v>
      </c>
    </row>
    <row r="96" spans="1:13" ht="85.5">
      <c r="A96" s="199">
        <v>95</v>
      </c>
      <c r="B96" s="199" t="s">
        <v>3430</v>
      </c>
      <c r="C96" s="199" t="s">
        <v>25</v>
      </c>
      <c r="D96" s="199" t="s">
        <v>17</v>
      </c>
      <c r="E96" s="199">
        <v>19</v>
      </c>
      <c r="F96" s="199" t="s">
        <v>3385</v>
      </c>
      <c r="G96" s="199" t="s">
        <v>3385</v>
      </c>
      <c r="H96" s="200">
        <v>286.89999999999998</v>
      </c>
      <c r="I96" s="199" t="s">
        <v>38</v>
      </c>
      <c r="J96" s="199" t="s">
        <v>415</v>
      </c>
      <c r="K96" s="201">
        <v>45523</v>
      </c>
      <c r="L96" s="199" t="s">
        <v>3417</v>
      </c>
      <c r="M96" s="199" t="s">
        <v>3320</v>
      </c>
    </row>
    <row r="97" spans="1:13" ht="85.5">
      <c r="A97" s="199">
        <v>96</v>
      </c>
      <c r="B97" s="199" t="s">
        <v>3431</v>
      </c>
      <c r="C97" s="199" t="s">
        <v>25</v>
      </c>
      <c r="D97" s="199" t="s">
        <v>17</v>
      </c>
      <c r="E97" s="199">
        <v>90</v>
      </c>
      <c r="F97" s="199" t="s">
        <v>3385</v>
      </c>
      <c r="G97" s="199" t="s">
        <v>3385</v>
      </c>
      <c r="H97" s="200">
        <v>1389.6</v>
      </c>
      <c r="I97" s="199" t="s">
        <v>38</v>
      </c>
      <c r="J97" s="199" t="s">
        <v>415</v>
      </c>
      <c r="K97" s="201">
        <v>45524</v>
      </c>
      <c r="L97" s="199" t="s">
        <v>3417</v>
      </c>
      <c r="M97" s="199" t="s">
        <v>3320</v>
      </c>
    </row>
    <row r="98" spans="1:13" ht="85.5">
      <c r="A98" s="199">
        <v>97</v>
      </c>
      <c r="B98" s="199" t="s">
        <v>3432</v>
      </c>
      <c r="C98" s="199" t="s">
        <v>25</v>
      </c>
      <c r="D98" s="199" t="s">
        <v>17</v>
      </c>
      <c r="E98" s="199">
        <v>32</v>
      </c>
      <c r="F98" s="199" t="s">
        <v>3385</v>
      </c>
      <c r="G98" s="199" t="s">
        <v>3385</v>
      </c>
      <c r="H98" s="200">
        <v>483.2</v>
      </c>
      <c r="I98" s="199" t="s">
        <v>38</v>
      </c>
      <c r="J98" s="199" t="s">
        <v>415</v>
      </c>
      <c r="K98" s="201">
        <v>45525</v>
      </c>
      <c r="L98" s="199" t="s">
        <v>3417</v>
      </c>
      <c r="M98" s="199" t="s">
        <v>3320</v>
      </c>
    </row>
    <row r="99" spans="1:13" ht="85.5">
      <c r="A99" s="199">
        <v>98</v>
      </c>
      <c r="B99" s="199" t="s">
        <v>3433</v>
      </c>
      <c r="C99" s="199" t="s">
        <v>25</v>
      </c>
      <c r="D99" s="199" t="s">
        <v>17</v>
      </c>
      <c r="E99" s="199">
        <v>19</v>
      </c>
      <c r="F99" s="199" t="s">
        <v>3385</v>
      </c>
      <c r="G99" s="199" t="s">
        <v>3385</v>
      </c>
      <c r="H99" s="200">
        <v>286.89999999999998</v>
      </c>
      <c r="I99" s="199" t="s">
        <v>38</v>
      </c>
      <c r="J99" s="199" t="s">
        <v>415</v>
      </c>
      <c r="K99" s="201">
        <v>45526</v>
      </c>
      <c r="L99" s="199" t="s">
        <v>3417</v>
      </c>
      <c r="M99" s="199" t="s">
        <v>3320</v>
      </c>
    </row>
    <row r="100" spans="1:13" ht="71.25">
      <c r="A100" s="199">
        <v>99</v>
      </c>
      <c r="B100" s="199" t="s">
        <v>3434</v>
      </c>
      <c r="C100" s="199" t="s">
        <v>25</v>
      </c>
      <c r="D100" s="199" t="s">
        <v>17</v>
      </c>
      <c r="E100" s="199">
        <v>19</v>
      </c>
      <c r="F100" s="199" t="s">
        <v>3385</v>
      </c>
      <c r="G100" s="199" t="s">
        <v>3385</v>
      </c>
      <c r="H100" s="200">
        <v>293.36</v>
      </c>
      <c r="I100" s="199" t="s">
        <v>38</v>
      </c>
      <c r="J100" s="199" t="s">
        <v>415</v>
      </c>
      <c r="K100" s="201">
        <v>45527</v>
      </c>
      <c r="L100" s="199" t="s">
        <v>3417</v>
      </c>
      <c r="M100" s="199" t="s">
        <v>3320</v>
      </c>
    </row>
    <row r="101" spans="1:13" ht="99.75">
      <c r="A101" s="199">
        <v>100</v>
      </c>
      <c r="B101" s="199" t="s">
        <v>3435</v>
      </c>
      <c r="C101" s="199" t="s">
        <v>25</v>
      </c>
      <c r="D101" s="199" t="s">
        <v>17</v>
      </c>
      <c r="E101" s="199">
        <v>19</v>
      </c>
      <c r="F101" s="199" t="s">
        <v>3385</v>
      </c>
      <c r="G101" s="199" t="s">
        <v>3385</v>
      </c>
      <c r="H101" s="200">
        <v>304</v>
      </c>
      <c r="I101" s="199" t="s">
        <v>38</v>
      </c>
      <c r="J101" s="199" t="s">
        <v>415</v>
      </c>
      <c r="K101" s="201">
        <v>45528</v>
      </c>
      <c r="L101" s="199" t="s">
        <v>3417</v>
      </c>
      <c r="M101" s="199" t="s">
        <v>3320</v>
      </c>
    </row>
    <row r="102" spans="1:13" ht="71.25">
      <c r="A102" s="199">
        <v>101</v>
      </c>
      <c r="B102" s="199" t="s">
        <v>3436</v>
      </c>
      <c r="C102" s="199" t="s">
        <v>25</v>
      </c>
      <c r="D102" s="199" t="s">
        <v>17</v>
      </c>
      <c r="E102" s="199">
        <v>500</v>
      </c>
      <c r="F102" s="199" t="s">
        <v>3385</v>
      </c>
      <c r="G102" s="199" t="s">
        <v>3385</v>
      </c>
      <c r="H102" s="200">
        <v>7635</v>
      </c>
      <c r="I102" s="199" t="s">
        <v>38</v>
      </c>
      <c r="J102" s="199" t="s">
        <v>415</v>
      </c>
      <c r="K102" s="201">
        <v>45529</v>
      </c>
      <c r="L102" s="199" t="s">
        <v>3417</v>
      </c>
      <c r="M102" s="199" t="s">
        <v>3320</v>
      </c>
    </row>
    <row r="103" spans="1:13" ht="71.25">
      <c r="A103" s="199">
        <v>102</v>
      </c>
      <c r="B103" s="199" t="s">
        <v>3437</v>
      </c>
      <c r="C103" s="199" t="s">
        <v>25</v>
      </c>
      <c r="D103" s="199" t="s">
        <v>17</v>
      </c>
      <c r="E103" s="199">
        <v>400</v>
      </c>
      <c r="F103" s="199" t="s">
        <v>3385</v>
      </c>
      <c r="G103" s="199" t="s">
        <v>3385</v>
      </c>
      <c r="H103" s="200">
        <v>6176</v>
      </c>
      <c r="I103" s="199" t="s">
        <v>38</v>
      </c>
      <c r="J103" s="199" t="s">
        <v>415</v>
      </c>
      <c r="K103" s="201">
        <v>45530</v>
      </c>
      <c r="L103" s="199" t="s">
        <v>3417</v>
      </c>
      <c r="M103" s="199" t="s">
        <v>3320</v>
      </c>
    </row>
    <row r="104" spans="1:13" ht="71.25">
      <c r="A104" s="199">
        <v>103</v>
      </c>
      <c r="B104" s="199" t="s">
        <v>3438</v>
      </c>
      <c r="C104" s="199" t="s">
        <v>25</v>
      </c>
      <c r="D104" s="199" t="s">
        <v>17</v>
      </c>
      <c r="E104" s="199">
        <v>19</v>
      </c>
      <c r="F104" s="199" t="s">
        <v>3385</v>
      </c>
      <c r="G104" s="199" t="s">
        <v>3385</v>
      </c>
      <c r="H104" s="200">
        <v>293.36</v>
      </c>
      <c r="I104" s="199" t="s">
        <v>38</v>
      </c>
      <c r="J104" s="199" t="s">
        <v>415</v>
      </c>
      <c r="K104" s="201">
        <v>45531</v>
      </c>
      <c r="L104" s="199" t="s">
        <v>3417</v>
      </c>
      <c r="M104" s="199" t="s">
        <v>3320</v>
      </c>
    </row>
    <row r="105" spans="1:13" ht="71.25">
      <c r="A105" s="199">
        <v>104</v>
      </c>
      <c r="B105" s="199" t="s">
        <v>3439</v>
      </c>
      <c r="C105" s="199" t="s">
        <v>25</v>
      </c>
      <c r="D105" s="199" t="s">
        <v>17</v>
      </c>
      <c r="E105" s="199">
        <v>168</v>
      </c>
      <c r="F105" s="199" t="s">
        <v>3385</v>
      </c>
      <c r="G105" s="199" t="s">
        <v>3385</v>
      </c>
      <c r="H105" s="200">
        <v>2397.36</v>
      </c>
      <c r="I105" s="199" t="s">
        <v>38</v>
      </c>
      <c r="J105" s="199" t="s">
        <v>415</v>
      </c>
      <c r="K105" s="201">
        <v>45532</v>
      </c>
      <c r="L105" s="199" t="s">
        <v>3417</v>
      </c>
      <c r="M105" s="199" t="s">
        <v>3320</v>
      </c>
    </row>
    <row r="106" spans="1:13" ht="71.25">
      <c r="A106" s="199">
        <v>105</v>
      </c>
      <c r="B106" s="199" t="s">
        <v>3440</v>
      </c>
      <c r="C106" s="199" t="s">
        <v>25</v>
      </c>
      <c r="D106" s="199" t="s">
        <v>17</v>
      </c>
      <c r="E106" s="199">
        <v>53</v>
      </c>
      <c r="F106" s="199" t="s">
        <v>3385</v>
      </c>
      <c r="G106" s="199" t="s">
        <v>3385</v>
      </c>
      <c r="H106" s="200">
        <v>875.56</v>
      </c>
      <c r="I106" s="199" t="s">
        <v>38</v>
      </c>
      <c r="J106" s="199" t="s">
        <v>415</v>
      </c>
      <c r="K106" s="201">
        <v>45533</v>
      </c>
      <c r="L106" s="199" t="s">
        <v>3417</v>
      </c>
      <c r="M106" s="199" t="s">
        <v>3320</v>
      </c>
    </row>
    <row r="107" spans="1:13" ht="71.25">
      <c r="A107" s="199">
        <v>106</v>
      </c>
      <c r="B107" s="199" t="s">
        <v>3441</v>
      </c>
      <c r="C107" s="199" t="s">
        <v>25</v>
      </c>
      <c r="D107" s="199" t="s">
        <v>17</v>
      </c>
      <c r="E107" s="199">
        <v>250</v>
      </c>
      <c r="F107" s="199" t="s">
        <v>3385</v>
      </c>
      <c r="G107" s="199" t="s">
        <v>3385</v>
      </c>
      <c r="H107" s="200">
        <v>3655</v>
      </c>
      <c r="I107" s="199" t="s">
        <v>38</v>
      </c>
      <c r="J107" s="199" t="s">
        <v>415</v>
      </c>
      <c r="K107" s="201">
        <v>45534</v>
      </c>
      <c r="L107" s="199" t="s">
        <v>3417</v>
      </c>
      <c r="M107" s="199" t="s">
        <v>3320</v>
      </c>
    </row>
    <row r="108" spans="1:13" ht="71.25">
      <c r="A108" s="199">
        <v>107</v>
      </c>
      <c r="B108" s="199" t="s">
        <v>3442</v>
      </c>
      <c r="C108" s="199" t="s">
        <v>25</v>
      </c>
      <c r="D108" s="199" t="s">
        <v>17</v>
      </c>
      <c r="E108" s="199">
        <v>19</v>
      </c>
      <c r="F108" s="199" t="s">
        <v>3385</v>
      </c>
      <c r="G108" s="199" t="s">
        <v>3385</v>
      </c>
      <c r="H108" s="200">
        <v>286.89999999999998</v>
      </c>
      <c r="I108" s="199" t="s">
        <v>38</v>
      </c>
      <c r="J108" s="199" t="s">
        <v>415</v>
      </c>
      <c r="K108" s="201">
        <v>45535</v>
      </c>
      <c r="L108" s="199" t="s">
        <v>3417</v>
      </c>
      <c r="M108" s="199" t="s">
        <v>3320</v>
      </c>
    </row>
    <row r="109" spans="1:13" ht="85.5">
      <c r="A109" s="199">
        <v>108</v>
      </c>
      <c r="B109" s="199" t="s">
        <v>3443</v>
      </c>
      <c r="C109" s="199" t="s">
        <v>25</v>
      </c>
      <c r="D109" s="199" t="s">
        <v>17</v>
      </c>
      <c r="E109" s="199">
        <v>525</v>
      </c>
      <c r="F109" s="199" t="s">
        <v>3385</v>
      </c>
      <c r="G109" s="199" t="s">
        <v>3385</v>
      </c>
      <c r="H109" s="200">
        <v>8310.75</v>
      </c>
      <c r="I109" s="199" t="s">
        <v>38</v>
      </c>
      <c r="J109" s="199" t="s">
        <v>415</v>
      </c>
      <c r="K109" s="201">
        <v>45536</v>
      </c>
      <c r="L109" s="199" t="s">
        <v>3417</v>
      </c>
      <c r="M109" s="199" t="s">
        <v>3320</v>
      </c>
    </row>
    <row r="110" spans="1:13" ht="85.5">
      <c r="A110" s="199">
        <v>109</v>
      </c>
      <c r="B110" s="199" t="s">
        <v>3444</v>
      </c>
      <c r="C110" s="199" t="s">
        <v>25</v>
      </c>
      <c r="D110" s="199" t="s">
        <v>17</v>
      </c>
      <c r="E110" s="199">
        <v>100</v>
      </c>
      <c r="F110" s="199" t="s">
        <v>3385</v>
      </c>
      <c r="G110" s="199" t="s">
        <v>3385</v>
      </c>
      <c r="H110" s="200">
        <v>1596</v>
      </c>
      <c r="I110" s="199" t="s">
        <v>38</v>
      </c>
      <c r="J110" s="199" t="s">
        <v>415</v>
      </c>
      <c r="K110" s="201">
        <v>45537</v>
      </c>
      <c r="L110" s="199" t="s">
        <v>3417</v>
      </c>
      <c r="M110" s="199" t="s">
        <v>3320</v>
      </c>
    </row>
    <row r="111" spans="1:13" ht="85.5">
      <c r="A111" s="199">
        <v>110</v>
      </c>
      <c r="B111" s="199" t="s">
        <v>3445</v>
      </c>
      <c r="C111" s="199" t="s">
        <v>25</v>
      </c>
      <c r="D111" s="199" t="s">
        <v>17</v>
      </c>
      <c r="E111" s="199">
        <v>500</v>
      </c>
      <c r="F111" s="199" t="s">
        <v>3385</v>
      </c>
      <c r="G111" s="199" t="s">
        <v>3385</v>
      </c>
      <c r="H111" s="200">
        <v>8725</v>
      </c>
      <c r="I111" s="199" t="s">
        <v>38</v>
      </c>
      <c r="J111" s="199" t="s">
        <v>415</v>
      </c>
      <c r="K111" s="201">
        <v>45538</v>
      </c>
      <c r="L111" s="199" t="s">
        <v>3417</v>
      </c>
      <c r="M111" s="199" t="s">
        <v>3320</v>
      </c>
    </row>
    <row r="112" spans="1:13" ht="85.5">
      <c r="A112" s="199">
        <v>111</v>
      </c>
      <c r="B112" s="199" t="s">
        <v>3446</v>
      </c>
      <c r="C112" s="199" t="s">
        <v>25</v>
      </c>
      <c r="D112" s="199" t="s">
        <v>17</v>
      </c>
      <c r="E112" s="199">
        <v>300</v>
      </c>
      <c r="F112" s="199" t="s">
        <v>3385</v>
      </c>
      <c r="G112" s="199" t="s">
        <v>3385</v>
      </c>
      <c r="H112" s="200">
        <v>5691</v>
      </c>
      <c r="I112" s="199" t="s">
        <v>38</v>
      </c>
      <c r="J112" s="199" t="s">
        <v>415</v>
      </c>
      <c r="K112" s="201">
        <v>45539</v>
      </c>
      <c r="L112" s="199" t="s">
        <v>3417</v>
      </c>
      <c r="M112" s="199" t="s">
        <v>3320</v>
      </c>
    </row>
    <row r="113" spans="1:13" ht="71.25">
      <c r="A113" s="199">
        <v>112</v>
      </c>
      <c r="B113" s="199" t="s">
        <v>3447</v>
      </c>
      <c r="C113" s="199" t="s">
        <v>25</v>
      </c>
      <c r="D113" s="199" t="s">
        <v>17</v>
      </c>
      <c r="E113" s="199">
        <v>263</v>
      </c>
      <c r="F113" s="199" t="s">
        <v>3385</v>
      </c>
      <c r="G113" s="199" t="s">
        <v>3385</v>
      </c>
      <c r="H113" s="200">
        <v>4399.99</v>
      </c>
      <c r="I113" s="199" t="s">
        <v>38</v>
      </c>
      <c r="J113" s="199" t="s">
        <v>415</v>
      </c>
      <c r="K113" s="201">
        <v>45540</v>
      </c>
      <c r="L113" s="199" t="s">
        <v>3417</v>
      </c>
      <c r="M113" s="199" t="s">
        <v>3320</v>
      </c>
    </row>
    <row r="114" spans="1:13" ht="71.25">
      <c r="A114" s="199">
        <v>113</v>
      </c>
      <c r="B114" s="199" t="s">
        <v>3448</v>
      </c>
      <c r="C114" s="199" t="s">
        <v>25</v>
      </c>
      <c r="D114" s="199" t="s">
        <v>17</v>
      </c>
      <c r="E114" s="199">
        <v>550</v>
      </c>
      <c r="F114" s="199" t="s">
        <v>3385</v>
      </c>
      <c r="G114" s="199" t="s">
        <v>3385</v>
      </c>
      <c r="H114" s="200">
        <v>9339</v>
      </c>
      <c r="I114" s="199" t="s">
        <v>38</v>
      </c>
      <c r="J114" s="199" t="s">
        <v>415</v>
      </c>
      <c r="K114" s="201">
        <v>45541</v>
      </c>
      <c r="L114" s="199" t="s">
        <v>3417</v>
      </c>
      <c r="M114" s="199" t="s">
        <v>3320</v>
      </c>
    </row>
    <row r="115" spans="1:13" ht="85.5">
      <c r="A115" s="199">
        <v>114</v>
      </c>
      <c r="B115" s="199" t="s">
        <v>3449</v>
      </c>
      <c r="C115" s="199" t="s">
        <v>25</v>
      </c>
      <c r="D115" s="199" t="s">
        <v>17</v>
      </c>
      <c r="E115" s="199">
        <v>19</v>
      </c>
      <c r="F115" s="199" t="s">
        <v>3385</v>
      </c>
      <c r="G115" s="199" t="s">
        <v>3385</v>
      </c>
      <c r="H115" s="200">
        <v>365.37</v>
      </c>
      <c r="I115" s="199" t="s">
        <v>38</v>
      </c>
      <c r="J115" s="199" t="s">
        <v>415</v>
      </c>
      <c r="K115" s="201">
        <v>45542</v>
      </c>
      <c r="L115" s="199" t="s">
        <v>3417</v>
      </c>
      <c r="M115" s="199" t="s">
        <v>3320</v>
      </c>
    </row>
    <row r="116" spans="1:13" ht="71.25">
      <c r="A116" s="199">
        <v>115</v>
      </c>
      <c r="B116" s="199" t="s">
        <v>3450</v>
      </c>
      <c r="C116" s="199" t="s">
        <v>25</v>
      </c>
      <c r="D116" s="199" t="s">
        <v>17</v>
      </c>
      <c r="E116" s="199">
        <v>19</v>
      </c>
      <c r="F116" s="199" t="s">
        <v>3385</v>
      </c>
      <c r="G116" s="199" t="s">
        <v>3385</v>
      </c>
      <c r="H116" s="200">
        <v>304</v>
      </c>
      <c r="I116" s="199" t="s">
        <v>38</v>
      </c>
      <c r="J116" s="199" t="s">
        <v>415</v>
      </c>
      <c r="K116" s="201">
        <v>45543</v>
      </c>
      <c r="L116" s="199" t="s">
        <v>3417</v>
      </c>
      <c r="M116" s="199" t="s">
        <v>3320</v>
      </c>
    </row>
    <row r="117" spans="1:13" ht="71.25">
      <c r="A117" s="199">
        <v>116</v>
      </c>
      <c r="B117" s="199" t="s">
        <v>3451</v>
      </c>
      <c r="C117" s="199" t="s">
        <v>25</v>
      </c>
      <c r="D117" s="199" t="s">
        <v>17</v>
      </c>
      <c r="E117" s="199">
        <v>32</v>
      </c>
      <c r="F117" s="199" t="s">
        <v>3385</v>
      </c>
      <c r="G117" s="199" t="s">
        <v>3385</v>
      </c>
      <c r="H117" s="200">
        <v>439.04</v>
      </c>
      <c r="I117" s="199" t="s">
        <v>38</v>
      </c>
      <c r="J117" s="199" t="s">
        <v>415</v>
      </c>
      <c r="K117" s="201">
        <v>45544</v>
      </c>
      <c r="L117" s="199" t="s">
        <v>3417</v>
      </c>
      <c r="M117" s="199" t="s">
        <v>3320</v>
      </c>
    </row>
    <row r="118" spans="1:13" ht="71.25">
      <c r="A118" s="199">
        <v>117</v>
      </c>
      <c r="B118" s="199" t="s">
        <v>3452</v>
      </c>
      <c r="C118" s="199" t="s">
        <v>25</v>
      </c>
      <c r="D118" s="199" t="s">
        <v>17</v>
      </c>
      <c r="E118" s="199">
        <v>37</v>
      </c>
      <c r="F118" s="199" t="s">
        <v>3385</v>
      </c>
      <c r="G118" s="199" t="s">
        <v>3385</v>
      </c>
      <c r="H118" s="200">
        <v>611.24</v>
      </c>
      <c r="I118" s="199" t="s">
        <v>38</v>
      </c>
      <c r="J118" s="199" t="s">
        <v>415</v>
      </c>
      <c r="K118" s="201">
        <v>45545</v>
      </c>
      <c r="L118" s="199" t="s">
        <v>3417</v>
      </c>
      <c r="M118" s="199" t="s">
        <v>3320</v>
      </c>
    </row>
    <row r="119" spans="1:13" ht="71.25">
      <c r="A119" s="199">
        <v>118</v>
      </c>
      <c r="B119" s="199" t="s">
        <v>3453</v>
      </c>
      <c r="C119" s="199" t="s">
        <v>25</v>
      </c>
      <c r="D119" s="199" t="s">
        <v>17</v>
      </c>
      <c r="E119" s="199">
        <v>32</v>
      </c>
      <c r="F119" s="199" t="s">
        <v>3385</v>
      </c>
      <c r="G119" s="199" t="s">
        <v>3385</v>
      </c>
      <c r="H119" s="200">
        <v>486.72</v>
      </c>
      <c r="I119" s="199" t="s">
        <v>38</v>
      </c>
      <c r="J119" s="199" t="s">
        <v>415</v>
      </c>
      <c r="K119" s="201">
        <v>45546</v>
      </c>
      <c r="L119" s="199" t="s">
        <v>3417</v>
      </c>
      <c r="M119" s="199" t="s">
        <v>3320</v>
      </c>
    </row>
    <row r="120" spans="1:13" ht="99.75">
      <c r="A120" s="199">
        <v>119</v>
      </c>
      <c r="B120" s="199" t="s">
        <v>3454</v>
      </c>
      <c r="C120" s="199" t="s">
        <v>25</v>
      </c>
      <c r="D120" s="199" t="s">
        <v>17</v>
      </c>
      <c r="E120" s="199">
        <v>20</v>
      </c>
      <c r="F120" s="199" t="s">
        <v>3385</v>
      </c>
      <c r="G120" s="199" t="s">
        <v>3385</v>
      </c>
      <c r="H120" s="200">
        <v>334.4</v>
      </c>
      <c r="I120" s="199" t="s">
        <v>38</v>
      </c>
      <c r="J120" s="199" t="s">
        <v>415</v>
      </c>
      <c r="K120" s="201">
        <v>45547</v>
      </c>
      <c r="L120" s="199" t="s">
        <v>3417</v>
      </c>
      <c r="M120" s="199" t="s">
        <v>3320</v>
      </c>
    </row>
    <row r="121" spans="1:13" ht="71.25">
      <c r="A121" s="199">
        <v>120</v>
      </c>
      <c r="B121" s="199" t="s">
        <v>3455</v>
      </c>
      <c r="C121" s="199" t="s">
        <v>25</v>
      </c>
      <c r="D121" s="199" t="s">
        <v>17</v>
      </c>
      <c r="E121" s="199">
        <v>10</v>
      </c>
      <c r="F121" s="199" t="s">
        <v>3385</v>
      </c>
      <c r="G121" s="199" t="s">
        <v>3385</v>
      </c>
      <c r="H121" s="200">
        <v>134.6</v>
      </c>
      <c r="I121" s="199" t="s">
        <v>38</v>
      </c>
      <c r="J121" s="199" t="s">
        <v>415</v>
      </c>
      <c r="K121" s="201">
        <v>45548</v>
      </c>
      <c r="L121" s="199" t="s">
        <v>3417</v>
      </c>
      <c r="M121" s="199" t="s">
        <v>3320</v>
      </c>
    </row>
    <row r="122" spans="1:13" ht="85.5">
      <c r="A122" s="199">
        <v>121</v>
      </c>
      <c r="B122" s="199" t="s">
        <v>3456</v>
      </c>
      <c r="C122" s="199" t="s">
        <v>25</v>
      </c>
      <c r="D122" s="199" t="s">
        <v>17</v>
      </c>
      <c r="E122" s="199">
        <v>105</v>
      </c>
      <c r="F122" s="199" t="s">
        <v>3385</v>
      </c>
      <c r="G122" s="199" t="s">
        <v>3385</v>
      </c>
      <c r="H122" s="200">
        <v>1642.2</v>
      </c>
      <c r="I122" s="199" t="s">
        <v>38</v>
      </c>
      <c r="J122" s="199" t="s">
        <v>415</v>
      </c>
      <c r="K122" s="201">
        <v>45549</v>
      </c>
      <c r="L122" s="199" t="s">
        <v>3417</v>
      </c>
      <c r="M122" s="199" t="s">
        <v>3320</v>
      </c>
    </row>
    <row r="123" spans="1:13" ht="71.25">
      <c r="A123" s="199">
        <v>122</v>
      </c>
      <c r="B123" s="199" t="s">
        <v>3457</v>
      </c>
      <c r="C123" s="199" t="s">
        <v>25</v>
      </c>
      <c r="D123" s="199" t="s">
        <v>17</v>
      </c>
      <c r="E123" s="199">
        <v>10</v>
      </c>
      <c r="F123" s="199" t="s">
        <v>3385</v>
      </c>
      <c r="G123" s="199" t="s">
        <v>3385</v>
      </c>
      <c r="H123" s="200">
        <v>156.4</v>
      </c>
      <c r="I123" s="199" t="s">
        <v>38</v>
      </c>
      <c r="J123" s="199" t="s">
        <v>415</v>
      </c>
      <c r="K123" s="201">
        <v>45550</v>
      </c>
      <c r="L123" s="199" t="s">
        <v>3417</v>
      </c>
      <c r="M123" s="199" t="s">
        <v>3320</v>
      </c>
    </row>
    <row r="124" spans="1:13" ht="71.25">
      <c r="A124" s="199">
        <v>123</v>
      </c>
      <c r="B124" s="199" t="s">
        <v>3458</v>
      </c>
      <c r="C124" s="199" t="s">
        <v>25</v>
      </c>
      <c r="D124" s="199" t="s">
        <v>17</v>
      </c>
      <c r="E124" s="199">
        <v>525</v>
      </c>
      <c r="F124" s="199" t="s">
        <v>3385</v>
      </c>
      <c r="G124" s="199" t="s">
        <v>3385</v>
      </c>
      <c r="H124" s="200">
        <v>7623</v>
      </c>
      <c r="I124" s="199" t="s">
        <v>38</v>
      </c>
      <c r="J124" s="199" t="s">
        <v>415</v>
      </c>
      <c r="K124" s="201">
        <v>45551</v>
      </c>
      <c r="L124" s="199" t="s">
        <v>3417</v>
      </c>
      <c r="M124" s="199" t="s">
        <v>3320</v>
      </c>
    </row>
    <row r="125" spans="1:13" ht="85.5">
      <c r="A125" s="199">
        <v>124</v>
      </c>
      <c r="B125" s="199" t="s">
        <v>3459</v>
      </c>
      <c r="C125" s="199" t="s">
        <v>25</v>
      </c>
      <c r="D125" s="199" t="s">
        <v>17</v>
      </c>
      <c r="E125" s="199">
        <v>120</v>
      </c>
      <c r="F125" s="199" t="s">
        <v>3385</v>
      </c>
      <c r="G125" s="199" t="s">
        <v>3385</v>
      </c>
      <c r="H125" s="200">
        <v>1785.6</v>
      </c>
      <c r="I125" s="199" t="s">
        <v>38</v>
      </c>
      <c r="J125" s="199" t="s">
        <v>415</v>
      </c>
      <c r="K125" s="201">
        <v>45552</v>
      </c>
      <c r="L125" s="199" t="s">
        <v>3417</v>
      </c>
      <c r="M125" s="199" t="s">
        <v>3320</v>
      </c>
    </row>
    <row r="126" spans="1:13" ht="99.75">
      <c r="A126" s="199">
        <v>125</v>
      </c>
      <c r="B126" s="199" t="s">
        <v>3460</v>
      </c>
      <c r="C126" s="199" t="s">
        <v>25</v>
      </c>
      <c r="D126" s="199" t="s">
        <v>17</v>
      </c>
      <c r="E126" s="199">
        <v>60</v>
      </c>
      <c r="F126" s="199" t="s">
        <v>3385</v>
      </c>
      <c r="G126" s="199" t="s">
        <v>3385</v>
      </c>
      <c r="H126" s="200">
        <v>1008.6</v>
      </c>
      <c r="I126" s="199" t="s">
        <v>38</v>
      </c>
      <c r="J126" s="199" t="s">
        <v>415</v>
      </c>
      <c r="K126" s="201">
        <v>45553</v>
      </c>
      <c r="L126" s="199" t="s">
        <v>3417</v>
      </c>
      <c r="M126" s="199" t="s">
        <v>3320</v>
      </c>
    </row>
    <row r="127" spans="1:13" ht="71.25">
      <c r="A127" s="199">
        <v>126</v>
      </c>
      <c r="B127" s="199" t="s">
        <v>3461</v>
      </c>
      <c r="C127" s="199" t="s">
        <v>25</v>
      </c>
      <c r="D127" s="199" t="s">
        <v>17</v>
      </c>
      <c r="E127" s="199">
        <v>10</v>
      </c>
      <c r="F127" s="199" t="s">
        <v>3385</v>
      </c>
      <c r="G127" s="199" t="s">
        <v>3385</v>
      </c>
      <c r="H127" s="200">
        <v>135.6</v>
      </c>
      <c r="I127" s="199" t="s">
        <v>38</v>
      </c>
      <c r="J127" s="199" t="s">
        <v>415</v>
      </c>
      <c r="K127" s="201">
        <v>45554</v>
      </c>
      <c r="L127" s="199" t="s">
        <v>3417</v>
      </c>
      <c r="M127" s="199" t="s">
        <v>3320</v>
      </c>
    </row>
    <row r="128" spans="1:13" ht="71.25">
      <c r="A128" s="199">
        <v>127</v>
      </c>
      <c r="B128" s="199" t="s">
        <v>3462</v>
      </c>
      <c r="C128" s="199" t="s">
        <v>25</v>
      </c>
      <c r="D128" s="199" t="s">
        <v>17</v>
      </c>
      <c r="E128" s="199">
        <v>350</v>
      </c>
      <c r="F128" s="199" t="s">
        <v>3385</v>
      </c>
      <c r="G128" s="199" t="s">
        <v>3385</v>
      </c>
      <c r="H128" s="200">
        <v>4928</v>
      </c>
      <c r="I128" s="199" t="s">
        <v>38</v>
      </c>
      <c r="J128" s="199" t="s">
        <v>415</v>
      </c>
      <c r="K128" s="201">
        <v>45555</v>
      </c>
      <c r="L128" s="199" t="s">
        <v>3417</v>
      </c>
      <c r="M128" s="199" t="s">
        <v>3320</v>
      </c>
    </row>
    <row r="129" spans="1:13" ht="99.75">
      <c r="A129" s="199">
        <v>128</v>
      </c>
      <c r="B129" s="199" t="s">
        <v>3463</v>
      </c>
      <c r="C129" s="199" t="s">
        <v>25</v>
      </c>
      <c r="D129" s="199" t="s">
        <v>17</v>
      </c>
      <c r="E129" s="199">
        <v>79</v>
      </c>
      <c r="F129" s="199" t="s">
        <v>3385</v>
      </c>
      <c r="G129" s="199" t="s">
        <v>3385</v>
      </c>
      <c r="H129" s="200">
        <v>1090.99</v>
      </c>
      <c r="I129" s="199" t="s">
        <v>38</v>
      </c>
      <c r="J129" s="199" t="s">
        <v>415</v>
      </c>
      <c r="K129" s="201">
        <v>45556</v>
      </c>
      <c r="L129" s="199" t="s">
        <v>3417</v>
      </c>
      <c r="M129" s="199" t="s">
        <v>3320</v>
      </c>
    </row>
    <row r="130" spans="1:13" ht="85.5">
      <c r="A130" s="199">
        <v>129</v>
      </c>
      <c r="B130" s="199" t="s">
        <v>3464</v>
      </c>
      <c r="C130" s="199" t="s">
        <v>25</v>
      </c>
      <c r="D130" s="199" t="s">
        <v>17</v>
      </c>
      <c r="E130" s="199">
        <v>19</v>
      </c>
      <c r="F130" s="199" t="s">
        <v>3385</v>
      </c>
      <c r="G130" s="199" t="s">
        <v>3385</v>
      </c>
      <c r="H130" s="200">
        <v>315.39999999999998</v>
      </c>
      <c r="I130" s="199" t="s">
        <v>38</v>
      </c>
      <c r="J130" s="199" t="s">
        <v>415</v>
      </c>
      <c r="K130" s="201">
        <v>45557</v>
      </c>
      <c r="L130" s="199" t="s">
        <v>3417</v>
      </c>
      <c r="M130" s="199" t="s">
        <v>3320</v>
      </c>
    </row>
    <row r="131" spans="1:13" ht="71.25">
      <c r="A131" s="199">
        <v>130</v>
      </c>
      <c r="B131" s="199" t="s">
        <v>3465</v>
      </c>
      <c r="C131" s="199" t="s">
        <v>25</v>
      </c>
      <c r="D131" s="199" t="s">
        <v>17</v>
      </c>
      <c r="E131" s="199">
        <v>10</v>
      </c>
      <c r="F131" s="199" t="s">
        <v>3385</v>
      </c>
      <c r="G131" s="199" t="s">
        <v>3385</v>
      </c>
      <c r="H131" s="200">
        <v>149.19999999999999</v>
      </c>
      <c r="I131" s="199" t="s">
        <v>38</v>
      </c>
      <c r="J131" s="199" t="s">
        <v>415</v>
      </c>
      <c r="K131" s="201">
        <v>45558</v>
      </c>
      <c r="L131" s="199" t="s">
        <v>3417</v>
      </c>
      <c r="M131" s="199" t="s">
        <v>3320</v>
      </c>
    </row>
    <row r="132" spans="1:13" ht="71.25">
      <c r="A132" s="199">
        <v>131</v>
      </c>
      <c r="B132" s="199" t="s">
        <v>3466</v>
      </c>
      <c r="C132" s="199" t="s">
        <v>25</v>
      </c>
      <c r="D132" s="199" t="s">
        <v>17</v>
      </c>
      <c r="E132" s="199">
        <v>10</v>
      </c>
      <c r="F132" s="199" t="s">
        <v>3385</v>
      </c>
      <c r="G132" s="199" t="s">
        <v>3385</v>
      </c>
      <c r="H132" s="200">
        <v>163.30000000000001</v>
      </c>
      <c r="I132" s="199" t="s">
        <v>38</v>
      </c>
      <c r="J132" s="199" t="s">
        <v>415</v>
      </c>
      <c r="K132" s="201">
        <v>45559</v>
      </c>
      <c r="L132" s="199" t="s">
        <v>3417</v>
      </c>
      <c r="M132" s="199" t="s">
        <v>3320</v>
      </c>
    </row>
    <row r="133" spans="1:13" ht="85.5">
      <c r="A133" s="199">
        <v>132</v>
      </c>
      <c r="B133" s="199" t="s">
        <v>3467</v>
      </c>
      <c r="C133" s="199" t="s">
        <v>25</v>
      </c>
      <c r="D133" s="199" t="s">
        <v>17</v>
      </c>
      <c r="E133" s="199">
        <v>158</v>
      </c>
      <c r="F133" s="199" t="s">
        <v>3385</v>
      </c>
      <c r="G133" s="199" t="s">
        <v>3385</v>
      </c>
      <c r="H133" s="200">
        <v>2444.2600000000002</v>
      </c>
      <c r="I133" s="199" t="s">
        <v>38</v>
      </c>
      <c r="J133" s="199" t="s">
        <v>415</v>
      </c>
      <c r="K133" s="201">
        <v>45560</v>
      </c>
      <c r="L133" s="199" t="s">
        <v>3417</v>
      </c>
      <c r="M133" s="199" t="s">
        <v>3320</v>
      </c>
    </row>
    <row r="134" spans="1:13" ht="85.5">
      <c r="A134" s="199">
        <v>133</v>
      </c>
      <c r="B134" s="199" t="s">
        <v>3468</v>
      </c>
      <c r="C134" s="199" t="s">
        <v>25</v>
      </c>
      <c r="D134" s="199" t="s">
        <v>17</v>
      </c>
      <c r="E134" s="199">
        <v>10</v>
      </c>
      <c r="F134" s="199" t="s">
        <v>3385</v>
      </c>
      <c r="G134" s="199" t="s">
        <v>3385</v>
      </c>
      <c r="H134" s="200">
        <v>160</v>
      </c>
      <c r="I134" s="199" t="s">
        <v>38</v>
      </c>
      <c r="J134" s="199" t="s">
        <v>415</v>
      </c>
      <c r="K134" s="201">
        <v>45561</v>
      </c>
      <c r="L134" s="199" t="s">
        <v>3417</v>
      </c>
      <c r="M134" s="199" t="s">
        <v>3320</v>
      </c>
    </row>
    <row r="135" spans="1:13" ht="71.25">
      <c r="A135" s="199">
        <v>134</v>
      </c>
      <c r="B135" s="199" t="s">
        <v>3469</v>
      </c>
      <c r="C135" s="199" t="s">
        <v>25</v>
      </c>
      <c r="D135" s="199" t="s">
        <v>17</v>
      </c>
      <c r="E135" s="199">
        <v>250</v>
      </c>
      <c r="F135" s="199" t="s">
        <v>3385</v>
      </c>
      <c r="G135" s="199" t="s">
        <v>3385</v>
      </c>
      <c r="H135" s="200">
        <v>3632.5</v>
      </c>
      <c r="I135" s="199" t="s">
        <v>38</v>
      </c>
      <c r="J135" s="199" t="s">
        <v>415</v>
      </c>
      <c r="K135" s="201">
        <v>45562</v>
      </c>
      <c r="L135" s="199" t="s">
        <v>3417</v>
      </c>
      <c r="M135" s="199" t="s">
        <v>3320</v>
      </c>
    </row>
    <row r="136" spans="1:13" ht="71.25">
      <c r="A136" s="199">
        <v>135</v>
      </c>
      <c r="B136" s="199" t="s">
        <v>3470</v>
      </c>
      <c r="C136" s="199" t="s">
        <v>25</v>
      </c>
      <c r="D136" s="199" t="s">
        <v>17</v>
      </c>
      <c r="E136" s="199">
        <v>80</v>
      </c>
      <c r="F136" s="199" t="s">
        <v>3385</v>
      </c>
      <c r="G136" s="199" t="s">
        <v>3385</v>
      </c>
      <c r="H136" s="200">
        <v>1322.4</v>
      </c>
      <c r="I136" s="199" t="s">
        <v>38</v>
      </c>
      <c r="J136" s="199" t="s">
        <v>415</v>
      </c>
      <c r="K136" s="201">
        <v>45563</v>
      </c>
      <c r="L136" s="199" t="s">
        <v>3417</v>
      </c>
      <c r="M136" s="199" t="s">
        <v>3320</v>
      </c>
    </row>
    <row r="137" spans="1:13" ht="71.25">
      <c r="A137" s="199">
        <v>136</v>
      </c>
      <c r="B137" s="199" t="s">
        <v>3471</v>
      </c>
      <c r="C137" s="199" t="s">
        <v>25</v>
      </c>
      <c r="D137" s="199" t="s">
        <v>17</v>
      </c>
      <c r="E137" s="199">
        <v>10</v>
      </c>
      <c r="F137" s="199" t="s">
        <v>3385</v>
      </c>
      <c r="G137" s="199" t="s">
        <v>3385</v>
      </c>
      <c r="H137" s="200">
        <v>237.4</v>
      </c>
      <c r="I137" s="199" t="s">
        <v>38</v>
      </c>
      <c r="J137" s="199" t="s">
        <v>415</v>
      </c>
      <c r="K137" s="201">
        <v>45564</v>
      </c>
      <c r="L137" s="199" t="s">
        <v>3417</v>
      </c>
      <c r="M137" s="199" t="s">
        <v>3320</v>
      </c>
    </row>
    <row r="138" spans="1:13" ht="71.25">
      <c r="A138" s="199">
        <v>137</v>
      </c>
      <c r="B138" s="199" t="s">
        <v>3472</v>
      </c>
      <c r="C138" s="199" t="s">
        <v>25</v>
      </c>
      <c r="D138" s="199" t="s">
        <v>17</v>
      </c>
      <c r="E138" s="199">
        <v>120</v>
      </c>
      <c r="F138" s="199" t="s">
        <v>3385</v>
      </c>
      <c r="G138" s="199" t="s">
        <v>3385</v>
      </c>
      <c r="H138" s="200">
        <v>1758</v>
      </c>
      <c r="I138" s="199" t="s">
        <v>38</v>
      </c>
      <c r="J138" s="199" t="s">
        <v>415</v>
      </c>
      <c r="K138" s="201">
        <v>45565</v>
      </c>
      <c r="L138" s="199" t="s">
        <v>3417</v>
      </c>
      <c r="M138" s="199" t="s">
        <v>3320</v>
      </c>
    </row>
    <row r="139" spans="1:13" ht="99.75">
      <c r="A139" s="199">
        <v>138</v>
      </c>
      <c r="B139" s="199" t="s">
        <v>3473</v>
      </c>
      <c r="C139" s="199" t="s">
        <v>25</v>
      </c>
      <c r="D139" s="199" t="s">
        <v>17</v>
      </c>
      <c r="E139" s="199">
        <v>10</v>
      </c>
      <c r="F139" s="199" t="s">
        <v>3385</v>
      </c>
      <c r="G139" s="199" t="s">
        <v>3385</v>
      </c>
      <c r="H139" s="200">
        <v>156.4</v>
      </c>
      <c r="I139" s="199" t="s">
        <v>38</v>
      </c>
      <c r="J139" s="199" t="s">
        <v>415</v>
      </c>
      <c r="K139" s="201">
        <v>45566</v>
      </c>
      <c r="L139" s="199" t="s">
        <v>3417</v>
      </c>
      <c r="M139" s="199" t="s">
        <v>3320</v>
      </c>
    </row>
    <row r="140" spans="1:13" ht="71.25">
      <c r="A140" s="199">
        <v>139</v>
      </c>
      <c r="B140" s="199" t="s">
        <v>3474</v>
      </c>
      <c r="C140" s="199" t="s">
        <v>25</v>
      </c>
      <c r="D140" s="199" t="s">
        <v>17</v>
      </c>
      <c r="E140" s="199">
        <v>10</v>
      </c>
      <c r="F140" s="199" t="s">
        <v>3385</v>
      </c>
      <c r="G140" s="199" t="s">
        <v>3385</v>
      </c>
      <c r="H140" s="200">
        <v>154.69999999999999</v>
      </c>
      <c r="I140" s="199" t="s">
        <v>38</v>
      </c>
      <c r="J140" s="199" t="s">
        <v>415</v>
      </c>
      <c r="K140" s="201">
        <v>45567</v>
      </c>
      <c r="L140" s="199" t="s">
        <v>3417</v>
      </c>
      <c r="M140" s="199" t="s">
        <v>3320</v>
      </c>
    </row>
    <row r="141" spans="1:13" ht="85.5">
      <c r="A141" s="199">
        <v>140</v>
      </c>
      <c r="B141" s="199" t="s">
        <v>3475</v>
      </c>
      <c r="C141" s="199" t="s">
        <v>25</v>
      </c>
      <c r="D141" s="199" t="s">
        <v>17</v>
      </c>
      <c r="E141" s="199">
        <v>400</v>
      </c>
      <c r="F141" s="199" t="s">
        <v>3385</v>
      </c>
      <c r="G141" s="199" t="s">
        <v>3385</v>
      </c>
      <c r="H141" s="200">
        <v>6012</v>
      </c>
      <c r="I141" s="199" t="s">
        <v>38</v>
      </c>
      <c r="J141" s="199" t="s">
        <v>415</v>
      </c>
      <c r="K141" s="201">
        <v>45568</v>
      </c>
      <c r="L141" s="199" t="s">
        <v>3417</v>
      </c>
      <c r="M141" s="199" t="s">
        <v>3320</v>
      </c>
    </row>
    <row r="142" spans="1:13" ht="85.5">
      <c r="A142" s="199">
        <v>141</v>
      </c>
      <c r="B142" s="199" t="s">
        <v>3476</v>
      </c>
      <c r="C142" s="199" t="s">
        <v>25</v>
      </c>
      <c r="D142" s="199" t="s">
        <v>17</v>
      </c>
      <c r="E142" s="199">
        <v>10</v>
      </c>
      <c r="F142" s="199" t="s">
        <v>3385</v>
      </c>
      <c r="G142" s="199" t="s">
        <v>3385</v>
      </c>
      <c r="H142" s="200">
        <v>149.19999999999999</v>
      </c>
      <c r="I142" s="199" t="s">
        <v>38</v>
      </c>
      <c r="J142" s="199" t="s">
        <v>415</v>
      </c>
      <c r="K142" s="201">
        <v>45569</v>
      </c>
      <c r="L142" s="199" t="s">
        <v>3417</v>
      </c>
      <c r="M142" s="199" t="s">
        <v>3320</v>
      </c>
    </row>
    <row r="143" spans="1:13" ht="71.25">
      <c r="A143" s="199">
        <v>142</v>
      </c>
      <c r="B143" s="199" t="s">
        <v>3477</v>
      </c>
      <c r="C143" s="199" t="s">
        <v>25</v>
      </c>
      <c r="D143" s="199" t="s">
        <v>17</v>
      </c>
      <c r="E143" s="199">
        <v>10</v>
      </c>
      <c r="F143" s="199" t="s">
        <v>3385</v>
      </c>
      <c r="G143" s="199" t="s">
        <v>3385</v>
      </c>
      <c r="H143" s="200">
        <v>134.1</v>
      </c>
      <c r="I143" s="199" t="s">
        <v>38</v>
      </c>
      <c r="J143" s="199" t="s">
        <v>415</v>
      </c>
      <c r="K143" s="201">
        <v>45570</v>
      </c>
      <c r="L143" s="199" t="s">
        <v>3417</v>
      </c>
      <c r="M143" s="199" t="s">
        <v>3320</v>
      </c>
    </row>
    <row r="144" spans="1:13" ht="99.75">
      <c r="A144" s="199">
        <v>143</v>
      </c>
      <c r="B144" s="199" t="s">
        <v>3478</v>
      </c>
      <c r="C144" s="199" t="s">
        <v>25</v>
      </c>
      <c r="D144" s="199" t="s">
        <v>17</v>
      </c>
      <c r="E144" s="199">
        <v>200</v>
      </c>
      <c r="F144" s="199" t="s">
        <v>3385</v>
      </c>
      <c r="G144" s="199" t="s">
        <v>3385</v>
      </c>
      <c r="H144" s="200">
        <v>2150</v>
      </c>
      <c r="I144" s="199" t="s">
        <v>38</v>
      </c>
      <c r="J144" s="199" t="s">
        <v>415</v>
      </c>
      <c r="K144" s="201">
        <v>45571</v>
      </c>
      <c r="L144" s="199" t="s">
        <v>3417</v>
      </c>
      <c r="M144" s="199" t="s">
        <v>3320</v>
      </c>
    </row>
    <row r="145" spans="1:13" ht="71.25">
      <c r="A145" s="199">
        <v>144</v>
      </c>
      <c r="B145" s="199" t="s">
        <v>3479</v>
      </c>
      <c r="C145" s="199" t="s">
        <v>25</v>
      </c>
      <c r="D145" s="199" t="s">
        <v>17</v>
      </c>
      <c r="E145" s="199">
        <v>1838</v>
      </c>
      <c r="F145" s="199" t="s">
        <v>3385</v>
      </c>
      <c r="G145" s="199" t="s">
        <v>3385</v>
      </c>
      <c r="H145" s="200">
        <v>31043.82</v>
      </c>
      <c r="I145" s="199" t="s">
        <v>38</v>
      </c>
      <c r="J145" s="199" t="s">
        <v>415</v>
      </c>
      <c r="K145" s="201">
        <v>45572</v>
      </c>
      <c r="L145" s="199" t="s">
        <v>3417</v>
      </c>
      <c r="M145" s="199" t="s">
        <v>3320</v>
      </c>
    </row>
    <row r="146" spans="1:13" ht="71.25">
      <c r="A146" s="199">
        <v>145</v>
      </c>
      <c r="B146" s="199" t="s">
        <v>3480</v>
      </c>
      <c r="C146" s="199" t="s">
        <v>25</v>
      </c>
      <c r="D146" s="199" t="s">
        <v>17</v>
      </c>
      <c r="E146" s="199">
        <v>10</v>
      </c>
      <c r="F146" s="199" t="s">
        <v>3385</v>
      </c>
      <c r="G146" s="199" t="s">
        <v>3385</v>
      </c>
      <c r="H146" s="200">
        <v>143.19999999999999</v>
      </c>
      <c r="I146" s="199" t="s">
        <v>38</v>
      </c>
      <c r="J146" s="199" t="s">
        <v>415</v>
      </c>
      <c r="K146" s="201">
        <v>45573</v>
      </c>
      <c r="L146" s="199" t="s">
        <v>3417</v>
      </c>
      <c r="M146" s="199" t="s">
        <v>3320</v>
      </c>
    </row>
    <row r="147" spans="1:13" ht="71.25">
      <c r="A147" s="199">
        <v>146</v>
      </c>
      <c r="B147" s="199" t="s">
        <v>3481</v>
      </c>
      <c r="C147" s="199" t="s">
        <v>25</v>
      </c>
      <c r="D147" s="199" t="s">
        <v>17</v>
      </c>
      <c r="E147" s="199">
        <v>500</v>
      </c>
      <c r="F147" s="199" t="s">
        <v>3385</v>
      </c>
      <c r="G147" s="199" t="s">
        <v>3385</v>
      </c>
      <c r="H147" s="200">
        <v>7310</v>
      </c>
      <c r="I147" s="199" t="s">
        <v>38</v>
      </c>
      <c r="J147" s="199" t="s">
        <v>415</v>
      </c>
      <c r="K147" s="201">
        <v>45574</v>
      </c>
      <c r="L147" s="199" t="s">
        <v>3417</v>
      </c>
      <c r="M147" s="199" t="s">
        <v>3320</v>
      </c>
    </row>
    <row r="148" spans="1:13" ht="71.25">
      <c r="A148" s="199">
        <v>147</v>
      </c>
      <c r="B148" s="199" t="s">
        <v>3482</v>
      </c>
      <c r="C148" s="199" t="s">
        <v>25</v>
      </c>
      <c r="D148" s="199" t="s">
        <v>17</v>
      </c>
      <c r="E148" s="199">
        <v>10</v>
      </c>
      <c r="F148" s="199" t="s">
        <v>3385</v>
      </c>
      <c r="G148" s="199" t="s">
        <v>3385</v>
      </c>
      <c r="H148" s="200">
        <v>178.7</v>
      </c>
      <c r="I148" s="199" t="s">
        <v>38</v>
      </c>
      <c r="J148" s="199" t="s">
        <v>415</v>
      </c>
      <c r="K148" s="201">
        <v>45575</v>
      </c>
      <c r="L148" s="199" t="s">
        <v>3417</v>
      </c>
      <c r="M148" s="199" t="s">
        <v>3320</v>
      </c>
    </row>
    <row r="149" spans="1:13" ht="71.25">
      <c r="A149" s="199">
        <v>148</v>
      </c>
      <c r="B149" s="199" t="s">
        <v>3483</v>
      </c>
      <c r="C149" s="199" t="s">
        <v>25</v>
      </c>
      <c r="D149" s="199" t="s">
        <v>17</v>
      </c>
      <c r="E149" s="199">
        <v>10</v>
      </c>
      <c r="F149" s="199" t="s">
        <v>3385</v>
      </c>
      <c r="G149" s="199" t="s">
        <v>3385</v>
      </c>
      <c r="H149" s="200">
        <v>154.69999999999999</v>
      </c>
      <c r="I149" s="199" t="s">
        <v>38</v>
      </c>
      <c r="J149" s="199" t="s">
        <v>415</v>
      </c>
      <c r="K149" s="201">
        <v>45576</v>
      </c>
      <c r="L149" s="199" t="s">
        <v>3417</v>
      </c>
      <c r="M149" s="199" t="s">
        <v>3320</v>
      </c>
    </row>
    <row r="150" spans="1:13" ht="71.25">
      <c r="A150" s="199">
        <v>149</v>
      </c>
      <c r="B150" s="199" t="s">
        <v>3484</v>
      </c>
      <c r="C150" s="199" t="s">
        <v>25</v>
      </c>
      <c r="D150" s="199" t="s">
        <v>17</v>
      </c>
      <c r="E150" s="199">
        <v>10</v>
      </c>
      <c r="F150" s="199" t="s">
        <v>3385</v>
      </c>
      <c r="G150" s="199" t="s">
        <v>3385</v>
      </c>
      <c r="H150" s="200">
        <v>154.69999999999999</v>
      </c>
      <c r="I150" s="199" t="s">
        <v>38</v>
      </c>
      <c r="J150" s="199" t="s">
        <v>415</v>
      </c>
      <c r="K150" s="201">
        <v>45577</v>
      </c>
      <c r="L150" s="199" t="s">
        <v>3417</v>
      </c>
      <c r="M150" s="199" t="s">
        <v>3320</v>
      </c>
    </row>
    <row r="151" spans="1:13" ht="71.25">
      <c r="A151" s="199">
        <v>150</v>
      </c>
      <c r="B151" s="199" t="s">
        <v>3485</v>
      </c>
      <c r="C151" s="199" t="s">
        <v>25</v>
      </c>
      <c r="D151" s="199" t="s">
        <v>17</v>
      </c>
      <c r="E151" s="199">
        <v>10</v>
      </c>
      <c r="F151" s="199" t="s">
        <v>3385</v>
      </c>
      <c r="G151" s="199" t="s">
        <v>3385</v>
      </c>
      <c r="H151" s="200">
        <v>154.69999999999999</v>
      </c>
      <c r="I151" s="199" t="s">
        <v>38</v>
      </c>
      <c r="J151" s="199" t="s">
        <v>415</v>
      </c>
      <c r="K151" s="201">
        <v>45578</v>
      </c>
      <c r="L151" s="199" t="s">
        <v>3417</v>
      </c>
      <c r="M151" s="199" t="s">
        <v>3320</v>
      </c>
    </row>
    <row r="152" spans="1:13" ht="71.25">
      <c r="A152" s="199">
        <v>151</v>
      </c>
      <c r="B152" s="199" t="s">
        <v>3486</v>
      </c>
      <c r="C152" s="199" t="s">
        <v>25</v>
      </c>
      <c r="D152" s="199" t="s">
        <v>17</v>
      </c>
      <c r="E152" s="199">
        <v>10</v>
      </c>
      <c r="F152" s="199" t="s">
        <v>3385</v>
      </c>
      <c r="G152" s="199" t="s">
        <v>3385</v>
      </c>
      <c r="H152" s="200">
        <v>154.69999999999999</v>
      </c>
      <c r="I152" s="199" t="s">
        <v>38</v>
      </c>
      <c r="J152" s="199" t="s">
        <v>415</v>
      </c>
      <c r="K152" s="201">
        <v>45579</v>
      </c>
      <c r="L152" s="199" t="s">
        <v>3417</v>
      </c>
      <c r="M152" s="199" t="s">
        <v>3320</v>
      </c>
    </row>
    <row r="153" spans="1:13" ht="71.25">
      <c r="A153" s="199">
        <v>152</v>
      </c>
      <c r="B153" s="199" t="s">
        <v>3487</v>
      </c>
      <c r="C153" s="199" t="s">
        <v>25</v>
      </c>
      <c r="D153" s="199" t="s">
        <v>17</v>
      </c>
      <c r="E153" s="199">
        <v>10</v>
      </c>
      <c r="F153" s="199" t="s">
        <v>3385</v>
      </c>
      <c r="G153" s="199" t="s">
        <v>3385</v>
      </c>
      <c r="H153" s="200">
        <v>154.69999999999999</v>
      </c>
      <c r="I153" s="199" t="s">
        <v>38</v>
      </c>
      <c r="J153" s="199" t="s">
        <v>415</v>
      </c>
      <c r="K153" s="201">
        <v>45580</v>
      </c>
      <c r="L153" s="199" t="s">
        <v>3417</v>
      </c>
      <c r="M153" s="199" t="s">
        <v>3320</v>
      </c>
    </row>
    <row r="154" spans="1:13" ht="71.25">
      <c r="A154" s="199">
        <v>153</v>
      </c>
      <c r="B154" s="199" t="s">
        <v>3488</v>
      </c>
      <c r="C154" s="199" t="s">
        <v>25</v>
      </c>
      <c r="D154" s="199" t="s">
        <v>17</v>
      </c>
      <c r="E154" s="199">
        <v>10</v>
      </c>
      <c r="F154" s="199" t="s">
        <v>3385</v>
      </c>
      <c r="G154" s="199" t="s">
        <v>3385</v>
      </c>
      <c r="H154" s="200">
        <v>154.69999999999999</v>
      </c>
      <c r="I154" s="199" t="s">
        <v>38</v>
      </c>
      <c r="J154" s="199" t="s">
        <v>415</v>
      </c>
      <c r="K154" s="201">
        <v>45581</v>
      </c>
      <c r="L154" s="199" t="s">
        <v>3417</v>
      </c>
      <c r="M154" s="199" t="s">
        <v>3320</v>
      </c>
    </row>
    <row r="155" spans="1:13" ht="71.25">
      <c r="A155" s="199">
        <v>154</v>
      </c>
      <c r="B155" s="199" t="s">
        <v>3489</v>
      </c>
      <c r="C155" s="199" t="s">
        <v>25</v>
      </c>
      <c r="D155" s="199" t="s">
        <v>17</v>
      </c>
      <c r="E155" s="199">
        <v>150</v>
      </c>
      <c r="F155" s="199" t="s">
        <v>3385</v>
      </c>
      <c r="G155" s="199" t="s">
        <v>3385</v>
      </c>
      <c r="H155" s="200">
        <v>2320.5</v>
      </c>
      <c r="I155" s="199" t="s">
        <v>38</v>
      </c>
      <c r="J155" s="199" t="s">
        <v>415</v>
      </c>
      <c r="K155" s="201">
        <v>45582</v>
      </c>
      <c r="L155" s="199" t="s">
        <v>3417</v>
      </c>
      <c r="M155" s="199" t="s">
        <v>3320</v>
      </c>
    </row>
    <row r="156" spans="1:13" ht="71.25">
      <c r="A156" s="199">
        <v>155</v>
      </c>
      <c r="B156" s="199" t="s">
        <v>3490</v>
      </c>
      <c r="C156" s="199" t="s">
        <v>25</v>
      </c>
      <c r="D156" s="199" t="s">
        <v>17</v>
      </c>
      <c r="E156" s="199">
        <v>58</v>
      </c>
      <c r="F156" s="199" t="s">
        <v>3385</v>
      </c>
      <c r="G156" s="199" t="s">
        <v>3385</v>
      </c>
      <c r="H156" s="200">
        <v>897.26</v>
      </c>
      <c r="I156" s="199" t="s">
        <v>38</v>
      </c>
      <c r="J156" s="199" t="s">
        <v>415</v>
      </c>
      <c r="K156" s="201">
        <v>45583</v>
      </c>
      <c r="L156" s="199" t="s">
        <v>3417</v>
      </c>
      <c r="M156" s="199" t="s">
        <v>3320</v>
      </c>
    </row>
    <row r="157" spans="1:13" ht="71.25">
      <c r="A157" s="199">
        <v>156</v>
      </c>
      <c r="B157" s="199" t="s">
        <v>3491</v>
      </c>
      <c r="C157" s="199" t="s">
        <v>25</v>
      </c>
      <c r="D157" s="199" t="s">
        <v>17</v>
      </c>
      <c r="E157" s="199">
        <v>10</v>
      </c>
      <c r="F157" s="199" t="s">
        <v>3385</v>
      </c>
      <c r="G157" s="199" t="s">
        <v>3385</v>
      </c>
      <c r="H157" s="200">
        <v>168.1</v>
      </c>
      <c r="I157" s="199" t="s">
        <v>38</v>
      </c>
      <c r="J157" s="199" t="s">
        <v>415</v>
      </c>
      <c r="K157" s="201">
        <v>45584</v>
      </c>
      <c r="L157" s="199" t="s">
        <v>3417</v>
      </c>
      <c r="M157" s="199" t="s">
        <v>3320</v>
      </c>
    </row>
    <row r="158" spans="1:13" ht="85.5">
      <c r="A158" s="199">
        <v>157</v>
      </c>
      <c r="B158" s="199" t="s">
        <v>3492</v>
      </c>
      <c r="C158" s="199" t="s">
        <v>25</v>
      </c>
      <c r="D158" s="199" t="s">
        <v>17</v>
      </c>
      <c r="E158" s="199">
        <v>2000</v>
      </c>
      <c r="F158" s="199" t="s">
        <v>3385</v>
      </c>
      <c r="G158" s="199" t="s">
        <v>3385</v>
      </c>
      <c r="H158" s="200">
        <v>210000</v>
      </c>
      <c r="I158" s="199" t="s">
        <v>38</v>
      </c>
      <c r="J158" s="199" t="s">
        <v>415</v>
      </c>
      <c r="K158" s="201">
        <v>45445</v>
      </c>
      <c r="L158" s="199" t="s">
        <v>3493</v>
      </c>
      <c r="M158" s="199" t="s">
        <v>3320</v>
      </c>
    </row>
    <row r="159" spans="1:13" ht="85.5">
      <c r="A159" s="199">
        <v>158</v>
      </c>
      <c r="B159" s="199" t="s">
        <v>3494</v>
      </c>
      <c r="C159" s="199" t="s">
        <v>25</v>
      </c>
      <c r="D159" s="199" t="s">
        <v>17</v>
      </c>
      <c r="E159" s="199">
        <v>200</v>
      </c>
      <c r="F159" s="199" t="s">
        <v>3385</v>
      </c>
      <c r="G159" s="199" t="s">
        <v>3385</v>
      </c>
      <c r="H159" s="200">
        <v>21000</v>
      </c>
      <c r="I159" s="199" t="s">
        <v>38</v>
      </c>
      <c r="J159" s="199" t="s">
        <v>415</v>
      </c>
      <c r="K159" s="201">
        <v>45445</v>
      </c>
      <c r="L159" s="199" t="s">
        <v>3493</v>
      </c>
      <c r="M159" s="199" t="s">
        <v>3320</v>
      </c>
    </row>
    <row r="160" spans="1:13" ht="85.5">
      <c r="A160" s="199">
        <v>159</v>
      </c>
      <c r="B160" s="199" t="s">
        <v>3495</v>
      </c>
      <c r="C160" s="199" t="s">
        <v>25</v>
      </c>
      <c r="D160" s="199" t="s">
        <v>17</v>
      </c>
      <c r="E160" s="199">
        <v>350</v>
      </c>
      <c r="F160" s="199" t="s">
        <v>3385</v>
      </c>
      <c r="G160" s="199" t="s">
        <v>3385</v>
      </c>
      <c r="H160" s="200">
        <v>126000</v>
      </c>
      <c r="I160" s="199" t="s">
        <v>38</v>
      </c>
      <c r="J160" s="199" t="s">
        <v>415</v>
      </c>
      <c r="K160" s="201">
        <v>45445</v>
      </c>
      <c r="L160" s="199" t="s">
        <v>3493</v>
      </c>
      <c r="M160" s="199" t="s">
        <v>3320</v>
      </c>
    </row>
    <row r="161" spans="1:13" ht="71.25">
      <c r="A161" s="199">
        <v>160</v>
      </c>
      <c r="B161" s="199" t="s">
        <v>3496</v>
      </c>
      <c r="C161" s="199" t="s">
        <v>25</v>
      </c>
      <c r="D161" s="199" t="s">
        <v>17</v>
      </c>
      <c r="E161" s="199">
        <v>350</v>
      </c>
      <c r="F161" s="199" t="s">
        <v>3385</v>
      </c>
      <c r="G161" s="199" t="s">
        <v>3385</v>
      </c>
      <c r="H161" s="200">
        <v>26250</v>
      </c>
      <c r="I161" s="199" t="s">
        <v>38</v>
      </c>
      <c r="J161" s="199" t="s">
        <v>415</v>
      </c>
      <c r="K161" s="201">
        <v>45445</v>
      </c>
      <c r="L161" s="199" t="s">
        <v>3493</v>
      </c>
      <c r="M161" s="199" t="s">
        <v>3320</v>
      </c>
    </row>
    <row r="162" spans="1:13" ht="85.5">
      <c r="A162" s="199">
        <v>161</v>
      </c>
      <c r="B162" s="199" t="s">
        <v>3497</v>
      </c>
      <c r="C162" s="199" t="s">
        <v>25</v>
      </c>
      <c r="D162" s="199" t="s">
        <v>17</v>
      </c>
      <c r="E162" s="199">
        <v>300</v>
      </c>
      <c r="F162" s="199" t="s">
        <v>3385</v>
      </c>
      <c r="G162" s="199" t="s">
        <v>3385</v>
      </c>
      <c r="H162" s="200">
        <v>45999</v>
      </c>
      <c r="I162" s="199" t="s">
        <v>38</v>
      </c>
      <c r="J162" s="199" t="s">
        <v>415</v>
      </c>
      <c r="K162" s="201">
        <v>45445</v>
      </c>
      <c r="L162" s="199" t="s">
        <v>3498</v>
      </c>
      <c r="M162" s="199" t="s">
        <v>3320</v>
      </c>
    </row>
    <row r="163" spans="1:13" ht="71.25">
      <c r="A163" s="199">
        <v>162</v>
      </c>
      <c r="B163" s="199" t="s">
        <v>3499</v>
      </c>
      <c r="C163" s="199" t="s">
        <v>25</v>
      </c>
      <c r="D163" s="199" t="s">
        <v>17</v>
      </c>
      <c r="E163" s="199">
        <v>550</v>
      </c>
      <c r="F163" s="199" t="s">
        <v>3385</v>
      </c>
      <c r="G163" s="199" t="s">
        <v>3385</v>
      </c>
      <c r="H163" s="200">
        <v>78831.5</v>
      </c>
      <c r="I163" s="199" t="s">
        <v>38</v>
      </c>
      <c r="J163" s="199" t="s">
        <v>415</v>
      </c>
      <c r="K163" s="201" t="s">
        <v>1721</v>
      </c>
      <c r="L163" s="199" t="s">
        <v>3500</v>
      </c>
      <c r="M163" s="199" t="s">
        <v>3320</v>
      </c>
    </row>
    <row r="164" spans="1:13" ht="71.25">
      <c r="A164" s="199">
        <v>163</v>
      </c>
      <c r="B164" s="199" t="s">
        <v>3501</v>
      </c>
      <c r="C164" s="199" t="s">
        <v>25</v>
      </c>
      <c r="D164" s="199" t="s">
        <v>17</v>
      </c>
      <c r="E164" s="199">
        <v>150</v>
      </c>
      <c r="F164" s="199" t="s">
        <v>3385</v>
      </c>
      <c r="G164" s="199" t="s">
        <v>3385</v>
      </c>
      <c r="H164" s="200">
        <v>22750.5</v>
      </c>
      <c r="I164" s="199" t="s">
        <v>38</v>
      </c>
      <c r="J164" s="199" t="s">
        <v>415</v>
      </c>
      <c r="K164" s="201" t="s">
        <v>1721</v>
      </c>
      <c r="L164" s="199" t="s">
        <v>3500</v>
      </c>
      <c r="M164" s="199" t="s">
        <v>3320</v>
      </c>
    </row>
    <row r="165" spans="1:13" ht="71.25">
      <c r="A165" s="199">
        <v>164</v>
      </c>
      <c r="B165" s="199" t="s">
        <v>3502</v>
      </c>
      <c r="C165" s="199" t="s">
        <v>25</v>
      </c>
      <c r="D165" s="199" t="s">
        <v>17</v>
      </c>
      <c r="E165" s="199">
        <v>120</v>
      </c>
      <c r="F165" s="199" t="s">
        <v>3385</v>
      </c>
      <c r="G165" s="199" t="s">
        <v>3385</v>
      </c>
      <c r="H165" s="200">
        <v>11000</v>
      </c>
      <c r="I165" s="199" t="s">
        <v>38</v>
      </c>
      <c r="J165" s="199" t="s">
        <v>415</v>
      </c>
      <c r="K165" s="201" t="s">
        <v>1721</v>
      </c>
      <c r="L165" s="199" t="s">
        <v>3500</v>
      </c>
      <c r="M165" s="199" t="s">
        <v>3320</v>
      </c>
    </row>
    <row r="166" spans="1:13" ht="57">
      <c r="A166" s="199">
        <v>165</v>
      </c>
      <c r="B166" s="199" t="s">
        <v>3503</v>
      </c>
      <c r="C166" s="199" t="s">
        <v>25</v>
      </c>
      <c r="D166" s="199" t="s">
        <v>17</v>
      </c>
      <c r="E166" s="199">
        <v>40</v>
      </c>
      <c r="F166" s="199" t="s">
        <v>3385</v>
      </c>
      <c r="G166" s="199" t="s">
        <v>3385</v>
      </c>
      <c r="H166" s="200">
        <v>14950</v>
      </c>
      <c r="I166" s="199" t="s">
        <v>38</v>
      </c>
      <c r="J166" s="199" t="s">
        <v>415</v>
      </c>
      <c r="K166" s="201">
        <v>45622</v>
      </c>
      <c r="L166" s="199" t="s">
        <v>3504</v>
      </c>
      <c r="M166" s="199" t="s">
        <v>3320</v>
      </c>
    </row>
    <row r="167" spans="1:13" ht="57">
      <c r="A167" s="199">
        <v>166</v>
      </c>
      <c r="B167" s="199" t="s">
        <v>3505</v>
      </c>
      <c r="C167" s="199" t="s">
        <v>25</v>
      </c>
      <c r="D167" s="199" t="s">
        <v>17</v>
      </c>
      <c r="E167" s="199">
        <v>200</v>
      </c>
      <c r="F167" s="199" t="s">
        <v>3385</v>
      </c>
      <c r="G167" s="199" t="s">
        <v>3385</v>
      </c>
      <c r="H167" s="200">
        <v>24696</v>
      </c>
      <c r="I167" s="199" t="s">
        <v>38</v>
      </c>
      <c r="J167" s="199" t="s">
        <v>415</v>
      </c>
      <c r="K167" s="201">
        <v>45622</v>
      </c>
      <c r="L167" s="199" t="s">
        <v>3504</v>
      </c>
      <c r="M167" s="199" t="s">
        <v>3320</v>
      </c>
    </row>
    <row r="168" spans="1:13" ht="57">
      <c r="A168" s="199">
        <v>167</v>
      </c>
      <c r="B168" s="199" t="s">
        <v>3506</v>
      </c>
      <c r="C168" s="199" t="s">
        <v>25</v>
      </c>
      <c r="D168" s="199" t="s">
        <v>17</v>
      </c>
      <c r="E168" s="199">
        <v>5</v>
      </c>
      <c r="F168" s="199" t="s">
        <v>3385</v>
      </c>
      <c r="G168" s="199" t="s">
        <v>3385</v>
      </c>
      <c r="H168" s="200">
        <v>1536.4</v>
      </c>
      <c r="I168" s="199" t="s">
        <v>38</v>
      </c>
      <c r="J168" s="199" t="s">
        <v>415</v>
      </c>
      <c r="K168" s="201">
        <v>45622</v>
      </c>
      <c r="L168" s="199" t="s">
        <v>3504</v>
      </c>
      <c r="M168" s="199" t="s">
        <v>3320</v>
      </c>
    </row>
    <row r="169" spans="1:13" ht="57">
      <c r="A169" s="199">
        <v>168</v>
      </c>
      <c r="B169" s="199" t="s">
        <v>3507</v>
      </c>
      <c r="C169" s="199" t="s">
        <v>25</v>
      </c>
      <c r="D169" s="199" t="s">
        <v>17</v>
      </c>
      <c r="E169" s="199">
        <v>5</v>
      </c>
      <c r="F169" s="199" t="s">
        <v>3385</v>
      </c>
      <c r="G169" s="199" t="s">
        <v>3385</v>
      </c>
      <c r="H169" s="200">
        <v>1536.4</v>
      </c>
      <c r="I169" s="199" t="s">
        <v>38</v>
      </c>
      <c r="J169" s="199" t="s">
        <v>415</v>
      </c>
      <c r="K169" s="201">
        <v>45622</v>
      </c>
      <c r="L169" s="199" t="s">
        <v>3504</v>
      </c>
      <c r="M169" s="199" t="s">
        <v>3320</v>
      </c>
    </row>
    <row r="170" spans="1:13" ht="85.5">
      <c r="A170" s="199">
        <v>169</v>
      </c>
      <c r="B170" s="199" t="s">
        <v>3508</v>
      </c>
      <c r="C170" s="199" t="s">
        <v>25</v>
      </c>
      <c r="D170" s="199" t="s">
        <v>17</v>
      </c>
      <c r="E170" s="199">
        <v>15</v>
      </c>
      <c r="F170" s="199" t="s">
        <v>3385</v>
      </c>
      <c r="G170" s="199" t="s">
        <v>3385</v>
      </c>
      <c r="H170" s="200">
        <v>4609.2</v>
      </c>
      <c r="I170" s="199" t="s">
        <v>38</v>
      </c>
      <c r="J170" s="199" t="s">
        <v>415</v>
      </c>
      <c r="K170" s="201">
        <v>45622</v>
      </c>
      <c r="L170" s="199" t="s">
        <v>3504</v>
      </c>
      <c r="M170" s="199" t="s">
        <v>3320</v>
      </c>
    </row>
    <row r="171" spans="1:13" ht="99.75">
      <c r="A171" s="199">
        <v>170</v>
      </c>
      <c r="B171" s="199" t="s">
        <v>3509</v>
      </c>
      <c r="C171" s="199" t="s">
        <v>25</v>
      </c>
      <c r="D171" s="199" t="s">
        <v>17</v>
      </c>
      <c r="E171" s="199">
        <v>20</v>
      </c>
      <c r="F171" s="199" t="s">
        <v>3385</v>
      </c>
      <c r="G171" s="199" t="s">
        <v>3385</v>
      </c>
      <c r="H171" s="200">
        <v>6145.6</v>
      </c>
      <c r="I171" s="199" t="s">
        <v>38</v>
      </c>
      <c r="J171" s="199" t="s">
        <v>415</v>
      </c>
      <c r="K171" s="201">
        <v>45622</v>
      </c>
      <c r="L171" s="199" t="s">
        <v>3504</v>
      </c>
      <c r="M171" s="199" t="s">
        <v>3320</v>
      </c>
    </row>
    <row r="172" spans="1:13" ht="57">
      <c r="A172" s="199">
        <v>171</v>
      </c>
      <c r="B172" s="199" t="s">
        <v>3510</v>
      </c>
      <c r="C172" s="199" t="s">
        <v>25</v>
      </c>
      <c r="D172" s="199" t="s">
        <v>17</v>
      </c>
      <c r="E172" s="199">
        <v>5</v>
      </c>
      <c r="F172" s="199" t="s">
        <v>3385</v>
      </c>
      <c r="G172" s="199" t="s">
        <v>3385</v>
      </c>
      <c r="H172" s="200">
        <v>1536.4</v>
      </c>
      <c r="I172" s="199" t="s">
        <v>38</v>
      </c>
      <c r="J172" s="199" t="s">
        <v>415</v>
      </c>
      <c r="K172" s="201">
        <v>45622</v>
      </c>
      <c r="L172" s="199" t="s">
        <v>3504</v>
      </c>
      <c r="M172" s="199" t="s">
        <v>3320</v>
      </c>
    </row>
    <row r="173" spans="1:13" ht="57">
      <c r="A173" s="199">
        <v>172</v>
      </c>
      <c r="B173" s="199" t="s">
        <v>3511</v>
      </c>
      <c r="C173" s="199" t="s">
        <v>25</v>
      </c>
      <c r="D173" s="199" t="s">
        <v>17</v>
      </c>
      <c r="E173" s="199">
        <v>10</v>
      </c>
      <c r="F173" s="199" t="s">
        <v>3385</v>
      </c>
      <c r="G173" s="199" t="s">
        <v>3385</v>
      </c>
      <c r="H173" s="200">
        <v>3072.8</v>
      </c>
      <c r="I173" s="199" t="s">
        <v>38</v>
      </c>
      <c r="J173" s="199" t="s">
        <v>415</v>
      </c>
      <c r="K173" s="201">
        <v>45622</v>
      </c>
      <c r="L173" s="199" t="s">
        <v>3504</v>
      </c>
      <c r="M173" s="199" t="s">
        <v>3320</v>
      </c>
    </row>
    <row r="174" spans="1:13" ht="57">
      <c r="A174" s="199">
        <v>173</v>
      </c>
      <c r="B174" s="199" t="s">
        <v>3512</v>
      </c>
      <c r="C174" s="199" t="s">
        <v>25</v>
      </c>
      <c r="D174" s="199" t="s">
        <v>17</v>
      </c>
      <c r="E174" s="199">
        <v>30</v>
      </c>
      <c r="F174" s="199" t="s">
        <v>3385</v>
      </c>
      <c r="G174" s="199" t="s">
        <v>3385</v>
      </c>
      <c r="H174" s="200">
        <v>9218.4</v>
      </c>
      <c r="I174" s="199" t="s">
        <v>38</v>
      </c>
      <c r="J174" s="199" t="s">
        <v>415</v>
      </c>
      <c r="K174" s="201">
        <v>45622</v>
      </c>
      <c r="L174" s="199" t="s">
        <v>3504</v>
      </c>
      <c r="M174" s="199" t="s">
        <v>3320</v>
      </c>
    </row>
    <row r="175" spans="1:13" ht="57">
      <c r="A175" s="199">
        <v>174</v>
      </c>
      <c r="B175" s="199" t="s">
        <v>3513</v>
      </c>
      <c r="C175" s="199" t="s">
        <v>25</v>
      </c>
      <c r="D175" s="199" t="s">
        <v>17</v>
      </c>
      <c r="E175" s="199">
        <v>5</v>
      </c>
      <c r="F175" s="199" t="s">
        <v>3385</v>
      </c>
      <c r="G175" s="199" t="s">
        <v>3385</v>
      </c>
      <c r="H175" s="200">
        <v>1536.4</v>
      </c>
      <c r="I175" s="199" t="s">
        <v>38</v>
      </c>
      <c r="J175" s="199" t="s">
        <v>415</v>
      </c>
      <c r="K175" s="201">
        <v>45622</v>
      </c>
      <c r="L175" s="199" t="s">
        <v>3504</v>
      </c>
      <c r="M175" s="199" t="s">
        <v>3320</v>
      </c>
    </row>
    <row r="176" spans="1:13" ht="57">
      <c r="A176" s="199">
        <v>175</v>
      </c>
      <c r="B176" s="199" t="s">
        <v>3514</v>
      </c>
      <c r="C176" s="199" t="s">
        <v>25</v>
      </c>
      <c r="D176" s="199" t="s">
        <v>17</v>
      </c>
      <c r="E176" s="199">
        <v>5</v>
      </c>
      <c r="F176" s="199" t="s">
        <v>3385</v>
      </c>
      <c r="G176" s="199" t="s">
        <v>3385</v>
      </c>
      <c r="H176" s="200">
        <v>1536.4</v>
      </c>
      <c r="I176" s="199" t="s">
        <v>38</v>
      </c>
      <c r="J176" s="199" t="s">
        <v>415</v>
      </c>
      <c r="K176" s="201">
        <v>45622</v>
      </c>
      <c r="L176" s="199" t="s">
        <v>3504</v>
      </c>
      <c r="M176" s="199" t="s">
        <v>3320</v>
      </c>
    </row>
    <row r="177" spans="1:13" ht="57">
      <c r="A177" s="199">
        <v>176</v>
      </c>
      <c r="B177" s="199" t="s">
        <v>3515</v>
      </c>
      <c r="C177" s="199" t="s">
        <v>25</v>
      </c>
      <c r="D177" s="199" t="s">
        <v>17</v>
      </c>
      <c r="E177" s="199">
        <v>5</v>
      </c>
      <c r="F177" s="199" t="s">
        <v>3385</v>
      </c>
      <c r="G177" s="199" t="s">
        <v>3385</v>
      </c>
      <c r="H177" s="200">
        <v>1536.4</v>
      </c>
      <c r="I177" s="199" t="s">
        <v>38</v>
      </c>
      <c r="J177" s="199" t="s">
        <v>415</v>
      </c>
      <c r="K177" s="201">
        <v>45622</v>
      </c>
      <c r="L177" s="199" t="s">
        <v>3504</v>
      </c>
      <c r="M177" s="199" t="s">
        <v>3320</v>
      </c>
    </row>
    <row r="178" spans="1:13" ht="71.25">
      <c r="A178" s="199">
        <v>177</v>
      </c>
      <c r="B178" s="199" t="s">
        <v>3516</v>
      </c>
      <c r="C178" s="199" t="s">
        <v>25</v>
      </c>
      <c r="D178" s="199" t="s">
        <v>17</v>
      </c>
      <c r="E178" s="199">
        <v>5</v>
      </c>
      <c r="F178" s="199" t="s">
        <v>3385</v>
      </c>
      <c r="G178" s="199" t="s">
        <v>3385</v>
      </c>
      <c r="H178" s="200">
        <v>1536.4</v>
      </c>
      <c r="I178" s="199" t="s">
        <v>38</v>
      </c>
      <c r="J178" s="199" t="s">
        <v>415</v>
      </c>
      <c r="K178" s="201">
        <v>45622</v>
      </c>
      <c r="L178" s="199" t="s">
        <v>3504</v>
      </c>
      <c r="M178" s="199" t="s">
        <v>3320</v>
      </c>
    </row>
    <row r="179" spans="1:13" ht="57">
      <c r="A179" s="199">
        <v>178</v>
      </c>
      <c r="B179" s="199" t="s">
        <v>3517</v>
      </c>
      <c r="C179" s="199" t="s">
        <v>25</v>
      </c>
      <c r="D179" s="199" t="s">
        <v>17</v>
      </c>
      <c r="E179" s="199">
        <v>5</v>
      </c>
      <c r="F179" s="199" t="s">
        <v>3385</v>
      </c>
      <c r="G179" s="199" t="s">
        <v>3385</v>
      </c>
      <c r="H179" s="200">
        <v>1536.4</v>
      </c>
      <c r="I179" s="199" t="s">
        <v>38</v>
      </c>
      <c r="J179" s="199" t="s">
        <v>415</v>
      </c>
      <c r="K179" s="201">
        <v>45622</v>
      </c>
      <c r="L179" s="199" t="s">
        <v>3504</v>
      </c>
      <c r="M179" s="199" t="s">
        <v>3320</v>
      </c>
    </row>
    <row r="180" spans="1:13" ht="85.5">
      <c r="A180" s="199">
        <v>179</v>
      </c>
      <c r="B180" s="199" t="s">
        <v>3518</v>
      </c>
      <c r="C180" s="199" t="s">
        <v>25</v>
      </c>
      <c r="D180" s="199" t="s">
        <v>17</v>
      </c>
      <c r="E180" s="199">
        <v>20</v>
      </c>
      <c r="F180" s="199" t="s">
        <v>3385</v>
      </c>
      <c r="G180" s="199" t="s">
        <v>3385</v>
      </c>
      <c r="H180" s="200">
        <v>6145.6</v>
      </c>
      <c r="I180" s="199" t="s">
        <v>38</v>
      </c>
      <c r="J180" s="199" t="s">
        <v>415</v>
      </c>
      <c r="K180" s="201">
        <v>45622</v>
      </c>
      <c r="L180" s="199" t="s">
        <v>3504</v>
      </c>
      <c r="M180" s="199" t="s">
        <v>3320</v>
      </c>
    </row>
    <row r="181" spans="1:13" ht="57">
      <c r="A181" s="199">
        <v>180</v>
      </c>
      <c r="B181" s="199" t="s">
        <v>3519</v>
      </c>
      <c r="C181" s="199" t="s">
        <v>25</v>
      </c>
      <c r="D181" s="199" t="s">
        <v>17</v>
      </c>
      <c r="E181" s="199">
        <v>20</v>
      </c>
      <c r="F181" s="199" t="s">
        <v>3385</v>
      </c>
      <c r="G181" s="199" t="s">
        <v>3385</v>
      </c>
      <c r="H181" s="200">
        <v>6145.6</v>
      </c>
      <c r="I181" s="199" t="s">
        <v>38</v>
      </c>
      <c r="J181" s="199" t="s">
        <v>415</v>
      </c>
      <c r="K181" s="201">
        <v>45622</v>
      </c>
      <c r="L181" s="199" t="s">
        <v>3504</v>
      </c>
      <c r="M181" s="199" t="s">
        <v>3320</v>
      </c>
    </row>
    <row r="182" spans="1:13" ht="71.25">
      <c r="A182" s="199">
        <v>181</v>
      </c>
      <c r="B182" s="199" t="s">
        <v>3520</v>
      </c>
      <c r="C182" s="199" t="s">
        <v>25</v>
      </c>
      <c r="D182" s="199" t="s">
        <v>17</v>
      </c>
      <c r="E182" s="199">
        <v>15</v>
      </c>
      <c r="F182" s="199" t="s">
        <v>3385</v>
      </c>
      <c r="G182" s="199" t="s">
        <v>3385</v>
      </c>
      <c r="H182" s="200">
        <v>4609.2</v>
      </c>
      <c r="I182" s="199" t="s">
        <v>38</v>
      </c>
      <c r="J182" s="199" t="s">
        <v>415</v>
      </c>
      <c r="K182" s="201">
        <v>45622</v>
      </c>
      <c r="L182" s="199" t="s">
        <v>3504</v>
      </c>
      <c r="M182" s="199" t="s">
        <v>3320</v>
      </c>
    </row>
    <row r="183" spans="1:13" ht="71.25">
      <c r="A183" s="199">
        <v>182</v>
      </c>
      <c r="B183" s="199" t="s">
        <v>3521</v>
      </c>
      <c r="C183" s="199" t="s">
        <v>25</v>
      </c>
      <c r="D183" s="199" t="s">
        <v>17</v>
      </c>
      <c r="E183" s="199">
        <v>15</v>
      </c>
      <c r="F183" s="199" t="s">
        <v>3385</v>
      </c>
      <c r="G183" s="199" t="s">
        <v>3385</v>
      </c>
      <c r="H183" s="200">
        <v>4609.2</v>
      </c>
      <c r="I183" s="199" t="s">
        <v>38</v>
      </c>
      <c r="J183" s="199" t="s">
        <v>415</v>
      </c>
      <c r="K183" s="201">
        <v>45622</v>
      </c>
      <c r="L183" s="199" t="s">
        <v>3504</v>
      </c>
      <c r="M183" s="199" t="s">
        <v>3320</v>
      </c>
    </row>
    <row r="184" spans="1:13" ht="57">
      <c r="A184" s="199">
        <v>183</v>
      </c>
      <c r="B184" s="199" t="s">
        <v>3522</v>
      </c>
      <c r="C184" s="199" t="s">
        <v>25</v>
      </c>
      <c r="D184" s="199" t="s">
        <v>17</v>
      </c>
      <c r="E184" s="199">
        <v>10</v>
      </c>
      <c r="F184" s="199" t="s">
        <v>3385</v>
      </c>
      <c r="G184" s="199" t="s">
        <v>3385</v>
      </c>
      <c r="H184" s="200">
        <v>3072.8</v>
      </c>
      <c r="I184" s="199" t="s">
        <v>38</v>
      </c>
      <c r="J184" s="199" t="s">
        <v>415</v>
      </c>
      <c r="K184" s="201">
        <v>45622</v>
      </c>
      <c r="L184" s="199" t="s">
        <v>3504</v>
      </c>
      <c r="M184" s="199" t="s">
        <v>3320</v>
      </c>
    </row>
    <row r="185" spans="1:13" ht="57">
      <c r="A185" s="199">
        <v>184</v>
      </c>
      <c r="B185" s="199" t="s">
        <v>3523</v>
      </c>
      <c r="C185" s="199" t="s">
        <v>25</v>
      </c>
      <c r="D185" s="199" t="s">
        <v>17</v>
      </c>
      <c r="E185" s="199">
        <v>5</v>
      </c>
      <c r="F185" s="199" t="s">
        <v>3385</v>
      </c>
      <c r="G185" s="199" t="s">
        <v>3385</v>
      </c>
      <c r="H185" s="200">
        <v>1536.4</v>
      </c>
      <c r="I185" s="199" t="s">
        <v>38</v>
      </c>
      <c r="J185" s="199" t="s">
        <v>415</v>
      </c>
      <c r="K185" s="201">
        <v>45622</v>
      </c>
      <c r="L185" s="199" t="s">
        <v>3504</v>
      </c>
      <c r="M185" s="199" t="s">
        <v>3320</v>
      </c>
    </row>
    <row r="186" spans="1:13" ht="85.5">
      <c r="A186" s="199">
        <v>185</v>
      </c>
      <c r="B186" s="199" t="s">
        <v>3524</v>
      </c>
      <c r="C186" s="199" t="s">
        <v>25</v>
      </c>
      <c r="D186" s="199" t="s">
        <v>17</v>
      </c>
      <c r="E186" s="199">
        <v>250</v>
      </c>
      <c r="F186" s="199" t="s">
        <v>3385</v>
      </c>
      <c r="G186" s="199" t="s">
        <v>3385</v>
      </c>
      <c r="H186" s="200">
        <v>55742.5</v>
      </c>
      <c r="I186" s="199" t="s">
        <v>38</v>
      </c>
      <c r="J186" s="199" t="s">
        <v>415</v>
      </c>
      <c r="K186" s="201">
        <v>45622</v>
      </c>
      <c r="L186" s="199" t="s">
        <v>3504</v>
      </c>
      <c r="M186" s="199" t="s">
        <v>3320</v>
      </c>
    </row>
    <row r="187" spans="1:13" ht="128.25">
      <c r="A187" s="199">
        <v>186</v>
      </c>
      <c r="B187" s="199" t="s">
        <v>3525</v>
      </c>
      <c r="C187" s="199" t="s">
        <v>25</v>
      </c>
      <c r="D187" s="199" t="s">
        <v>17</v>
      </c>
      <c r="E187" s="199">
        <v>10</v>
      </c>
      <c r="F187" s="199" t="s">
        <v>3385</v>
      </c>
      <c r="G187" s="199" t="s">
        <v>3385</v>
      </c>
      <c r="H187" s="200">
        <v>2229.6999999999998</v>
      </c>
      <c r="I187" s="199" t="s">
        <v>38</v>
      </c>
      <c r="J187" s="199" t="s">
        <v>415</v>
      </c>
      <c r="K187" s="201">
        <v>45622</v>
      </c>
      <c r="L187" s="199" t="s">
        <v>3504</v>
      </c>
      <c r="M187" s="199" t="s">
        <v>3320</v>
      </c>
    </row>
    <row r="188" spans="1:13" ht="156.75">
      <c r="A188" s="199">
        <v>187</v>
      </c>
      <c r="B188" s="199" t="s">
        <v>3526</v>
      </c>
      <c r="C188" s="199" t="s">
        <v>25</v>
      </c>
      <c r="D188" s="199" t="s">
        <v>17</v>
      </c>
      <c r="E188" s="199">
        <v>10</v>
      </c>
      <c r="F188" s="199" t="s">
        <v>3385</v>
      </c>
      <c r="G188" s="199" t="s">
        <v>3385</v>
      </c>
      <c r="H188" s="200">
        <v>2229.6999999999998</v>
      </c>
      <c r="I188" s="199" t="s">
        <v>38</v>
      </c>
      <c r="J188" s="199" t="s">
        <v>415</v>
      </c>
      <c r="K188" s="201">
        <v>45622</v>
      </c>
      <c r="L188" s="199" t="s">
        <v>3504</v>
      </c>
      <c r="M188" s="199" t="s">
        <v>3320</v>
      </c>
    </row>
    <row r="189" spans="1:13" ht="85.5">
      <c r="A189" s="199">
        <v>188</v>
      </c>
      <c r="B189" s="199" t="s">
        <v>3527</v>
      </c>
      <c r="C189" s="199" t="s">
        <v>25</v>
      </c>
      <c r="D189" s="199" t="s">
        <v>17</v>
      </c>
      <c r="E189" s="199">
        <v>15</v>
      </c>
      <c r="F189" s="199" t="s">
        <v>3385</v>
      </c>
      <c r="G189" s="199" t="s">
        <v>3385</v>
      </c>
      <c r="H189" s="200">
        <v>3344.55</v>
      </c>
      <c r="I189" s="199" t="s">
        <v>38</v>
      </c>
      <c r="J189" s="199" t="s">
        <v>415</v>
      </c>
      <c r="K189" s="201">
        <v>45622</v>
      </c>
      <c r="L189" s="199" t="s">
        <v>3504</v>
      </c>
      <c r="M189" s="199" t="s">
        <v>3320</v>
      </c>
    </row>
    <row r="190" spans="1:13" ht="99.75">
      <c r="A190" s="199">
        <v>189</v>
      </c>
      <c r="B190" s="199" t="s">
        <v>3528</v>
      </c>
      <c r="C190" s="199" t="s">
        <v>25</v>
      </c>
      <c r="D190" s="199" t="s">
        <v>17</v>
      </c>
      <c r="E190" s="199">
        <v>10</v>
      </c>
      <c r="F190" s="199" t="s">
        <v>3385</v>
      </c>
      <c r="G190" s="199" t="s">
        <v>3385</v>
      </c>
      <c r="H190" s="200">
        <v>2229.6999999999998</v>
      </c>
      <c r="I190" s="199" t="s">
        <v>38</v>
      </c>
      <c r="J190" s="199" t="s">
        <v>415</v>
      </c>
      <c r="K190" s="201">
        <v>45622</v>
      </c>
      <c r="L190" s="199" t="s">
        <v>3504</v>
      </c>
      <c r="M190" s="199" t="s">
        <v>3320</v>
      </c>
    </row>
    <row r="191" spans="1:13" ht="71.25">
      <c r="A191" s="199">
        <v>190</v>
      </c>
      <c r="B191" s="199" t="s">
        <v>3529</v>
      </c>
      <c r="C191" s="199" t="s">
        <v>25</v>
      </c>
      <c r="D191" s="199" t="s">
        <v>17</v>
      </c>
      <c r="E191" s="199">
        <v>10</v>
      </c>
      <c r="F191" s="199" t="s">
        <v>3385</v>
      </c>
      <c r="G191" s="199" t="s">
        <v>3385</v>
      </c>
      <c r="H191" s="200">
        <v>2229.6999999999998</v>
      </c>
      <c r="I191" s="199" t="s">
        <v>38</v>
      </c>
      <c r="J191" s="199" t="s">
        <v>415</v>
      </c>
      <c r="K191" s="201">
        <v>45622</v>
      </c>
      <c r="L191" s="199" t="s">
        <v>3504</v>
      </c>
      <c r="M191" s="199" t="s">
        <v>3320</v>
      </c>
    </row>
    <row r="192" spans="1:13" ht="85.5">
      <c r="A192" s="199">
        <v>191</v>
      </c>
      <c r="B192" s="199" t="s">
        <v>3530</v>
      </c>
      <c r="C192" s="199" t="s">
        <v>25</v>
      </c>
      <c r="D192" s="199" t="s">
        <v>17</v>
      </c>
      <c r="E192" s="199">
        <v>15</v>
      </c>
      <c r="F192" s="199" t="s">
        <v>3385</v>
      </c>
      <c r="G192" s="199" t="s">
        <v>3385</v>
      </c>
      <c r="H192" s="200">
        <v>3344.55</v>
      </c>
      <c r="I192" s="199" t="s">
        <v>38</v>
      </c>
      <c r="J192" s="199" t="s">
        <v>415</v>
      </c>
      <c r="K192" s="201">
        <v>45622</v>
      </c>
      <c r="L192" s="199" t="s">
        <v>3504</v>
      </c>
      <c r="M192" s="199" t="s">
        <v>3320</v>
      </c>
    </row>
    <row r="193" spans="1:13" ht="85.5">
      <c r="A193" s="199">
        <v>192</v>
      </c>
      <c r="B193" s="199" t="s">
        <v>3531</v>
      </c>
      <c r="C193" s="199" t="s">
        <v>25</v>
      </c>
      <c r="D193" s="199" t="s">
        <v>17</v>
      </c>
      <c r="E193" s="199">
        <v>15</v>
      </c>
      <c r="F193" s="199" t="s">
        <v>3385</v>
      </c>
      <c r="G193" s="199" t="s">
        <v>3385</v>
      </c>
      <c r="H193" s="200">
        <v>3344.55</v>
      </c>
      <c r="I193" s="199" t="s">
        <v>38</v>
      </c>
      <c r="J193" s="199" t="s">
        <v>415</v>
      </c>
      <c r="K193" s="201">
        <v>45622</v>
      </c>
      <c r="L193" s="199" t="s">
        <v>3504</v>
      </c>
      <c r="M193" s="199" t="s">
        <v>3320</v>
      </c>
    </row>
    <row r="194" spans="1:13" ht="71.25">
      <c r="A194" s="199">
        <v>193</v>
      </c>
      <c r="B194" s="199" t="s">
        <v>3532</v>
      </c>
      <c r="C194" s="199" t="s">
        <v>25</v>
      </c>
      <c r="D194" s="199" t="s">
        <v>17</v>
      </c>
      <c r="E194" s="199">
        <v>30</v>
      </c>
      <c r="F194" s="199" t="s">
        <v>3385</v>
      </c>
      <c r="G194" s="199" t="s">
        <v>3385</v>
      </c>
      <c r="H194" s="200">
        <v>6689.1</v>
      </c>
      <c r="I194" s="199" t="s">
        <v>38</v>
      </c>
      <c r="J194" s="199" t="s">
        <v>415</v>
      </c>
      <c r="K194" s="201">
        <v>45622</v>
      </c>
      <c r="L194" s="199" t="s">
        <v>3504</v>
      </c>
      <c r="M194" s="199" t="s">
        <v>3320</v>
      </c>
    </row>
    <row r="195" spans="1:13" ht="85.5">
      <c r="A195" s="199">
        <v>194</v>
      </c>
      <c r="B195" s="199" t="s">
        <v>3533</v>
      </c>
      <c r="C195" s="199" t="s">
        <v>25</v>
      </c>
      <c r="D195" s="199" t="s">
        <v>17</v>
      </c>
      <c r="E195" s="199">
        <v>40</v>
      </c>
      <c r="F195" s="199" t="s">
        <v>3385</v>
      </c>
      <c r="G195" s="199" t="s">
        <v>3385</v>
      </c>
      <c r="H195" s="200">
        <v>10867.2</v>
      </c>
      <c r="I195" s="199" t="s">
        <v>38</v>
      </c>
      <c r="J195" s="199" t="s">
        <v>415</v>
      </c>
      <c r="K195" s="201">
        <v>45622</v>
      </c>
      <c r="L195" s="199" t="s">
        <v>3504</v>
      </c>
      <c r="M195" s="199" t="s">
        <v>3320</v>
      </c>
    </row>
    <row r="196" spans="1:13" ht="71.25">
      <c r="A196" s="199">
        <v>195</v>
      </c>
      <c r="B196" s="199" t="s">
        <v>3534</v>
      </c>
      <c r="C196" s="199" t="s">
        <v>25</v>
      </c>
      <c r="D196" s="199" t="s">
        <v>17</v>
      </c>
      <c r="E196" s="199">
        <v>10</v>
      </c>
      <c r="F196" s="199" t="s">
        <v>3385</v>
      </c>
      <c r="G196" s="199" t="s">
        <v>3385</v>
      </c>
      <c r="H196" s="200">
        <v>2716.8</v>
      </c>
      <c r="I196" s="199" t="s">
        <v>38</v>
      </c>
      <c r="J196" s="199" t="s">
        <v>415</v>
      </c>
      <c r="K196" s="201">
        <v>45622</v>
      </c>
      <c r="L196" s="199" t="s">
        <v>3504</v>
      </c>
      <c r="M196" s="199" t="s">
        <v>3320</v>
      </c>
    </row>
    <row r="197" spans="1:13" ht="114">
      <c r="A197" s="199">
        <v>196</v>
      </c>
      <c r="B197" s="199" t="s">
        <v>3535</v>
      </c>
      <c r="C197" s="199" t="s">
        <v>25</v>
      </c>
      <c r="D197" s="199" t="s">
        <v>17</v>
      </c>
      <c r="E197" s="199">
        <v>10</v>
      </c>
      <c r="F197" s="199" t="s">
        <v>3385</v>
      </c>
      <c r="G197" s="199" t="s">
        <v>3385</v>
      </c>
      <c r="H197" s="200">
        <v>2229.6999999999998</v>
      </c>
      <c r="I197" s="199" t="s">
        <v>38</v>
      </c>
      <c r="J197" s="199" t="s">
        <v>415</v>
      </c>
      <c r="K197" s="201">
        <v>45622</v>
      </c>
      <c r="L197" s="199" t="s">
        <v>3504</v>
      </c>
      <c r="M197" s="199" t="s">
        <v>3320</v>
      </c>
    </row>
    <row r="198" spans="1:13" ht="85.5">
      <c r="A198" s="199">
        <v>197</v>
      </c>
      <c r="B198" s="199" t="s">
        <v>3536</v>
      </c>
      <c r="C198" s="199" t="s">
        <v>25</v>
      </c>
      <c r="D198" s="199" t="s">
        <v>17</v>
      </c>
      <c r="E198" s="199">
        <v>10</v>
      </c>
      <c r="F198" s="199" t="s">
        <v>3385</v>
      </c>
      <c r="G198" s="199" t="s">
        <v>3385</v>
      </c>
      <c r="H198" s="200">
        <v>2229.6999999999998</v>
      </c>
      <c r="I198" s="199" t="s">
        <v>38</v>
      </c>
      <c r="J198" s="199" t="s">
        <v>415</v>
      </c>
      <c r="K198" s="201">
        <v>45622</v>
      </c>
      <c r="L198" s="199" t="s">
        <v>3504</v>
      </c>
      <c r="M198" s="199" t="s">
        <v>3320</v>
      </c>
    </row>
    <row r="199" spans="1:13" ht="71.25">
      <c r="A199" s="199">
        <v>198</v>
      </c>
      <c r="B199" s="199" t="s">
        <v>3537</v>
      </c>
      <c r="C199" s="199" t="s">
        <v>25</v>
      </c>
      <c r="D199" s="199" t="s">
        <v>17</v>
      </c>
      <c r="E199" s="199">
        <v>60</v>
      </c>
      <c r="F199" s="199" t="s">
        <v>3385</v>
      </c>
      <c r="G199" s="199" t="s">
        <v>3385</v>
      </c>
      <c r="H199" s="200">
        <v>16300.8</v>
      </c>
      <c r="I199" s="199" t="s">
        <v>38</v>
      </c>
      <c r="J199" s="199" t="s">
        <v>415</v>
      </c>
      <c r="K199" s="201">
        <v>45622</v>
      </c>
      <c r="L199" s="199" t="s">
        <v>3504</v>
      </c>
      <c r="M199" s="199" t="s">
        <v>3320</v>
      </c>
    </row>
    <row r="200" spans="1:13" ht="85.5">
      <c r="A200" s="199">
        <v>199</v>
      </c>
      <c r="B200" s="199" t="s">
        <v>3538</v>
      </c>
      <c r="C200" s="199" t="s">
        <v>25</v>
      </c>
      <c r="D200" s="199" t="s">
        <v>17</v>
      </c>
      <c r="E200" s="199">
        <v>10</v>
      </c>
      <c r="F200" s="199" t="s">
        <v>3385</v>
      </c>
      <c r="G200" s="199" t="s">
        <v>3385</v>
      </c>
      <c r="H200" s="200">
        <v>2229.6999999999998</v>
      </c>
      <c r="I200" s="199" t="s">
        <v>38</v>
      </c>
      <c r="J200" s="199" t="s">
        <v>415</v>
      </c>
      <c r="K200" s="201">
        <v>45622</v>
      </c>
      <c r="L200" s="199" t="s">
        <v>3504</v>
      </c>
      <c r="M200" s="199" t="s">
        <v>3320</v>
      </c>
    </row>
    <row r="201" spans="1:13" ht="99.75">
      <c r="A201" s="199">
        <v>200</v>
      </c>
      <c r="B201" s="199" t="s">
        <v>3539</v>
      </c>
      <c r="C201" s="199" t="s">
        <v>25</v>
      </c>
      <c r="D201" s="199" t="s">
        <v>17</v>
      </c>
      <c r="E201" s="199">
        <v>10</v>
      </c>
      <c r="F201" s="199" t="s">
        <v>3385</v>
      </c>
      <c r="G201" s="199" t="s">
        <v>3385</v>
      </c>
      <c r="H201" s="200">
        <v>2229.6999999999998</v>
      </c>
      <c r="I201" s="199" t="s">
        <v>38</v>
      </c>
      <c r="J201" s="199" t="s">
        <v>415</v>
      </c>
      <c r="K201" s="201">
        <v>45622</v>
      </c>
      <c r="L201" s="199" t="s">
        <v>3504</v>
      </c>
      <c r="M201" s="199" t="s">
        <v>3320</v>
      </c>
    </row>
    <row r="202" spans="1:13" ht="99.75">
      <c r="A202" s="199">
        <v>201</v>
      </c>
      <c r="B202" s="199" t="s">
        <v>3540</v>
      </c>
      <c r="C202" s="199" t="s">
        <v>25</v>
      </c>
      <c r="D202" s="199" t="s">
        <v>17</v>
      </c>
      <c r="E202" s="199">
        <v>10</v>
      </c>
      <c r="F202" s="199" t="s">
        <v>3385</v>
      </c>
      <c r="G202" s="199" t="s">
        <v>3385</v>
      </c>
      <c r="H202" s="200">
        <v>2229.6999999999998</v>
      </c>
      <c r="I202" s="199" t="s">
        <v>38</v>
      </c>
      <c r="J202" s="199" t="s">
        <v>415</v>
      </c>
      <c r="K202" s="201">
        <v>45622</v>
      </c>
      <c r="L202" s="199" t="s">
        <v>3504</v>
      </c>
      <c r="M202" s="199" t="s">
        <v>3320</v>
      </c>
    </row>
    <row r="203" spans="1:13" ht="57">
      <c r="A203" s="199">
        <v>202</v>
      </c>
      <c r="B203" s="199" t="s">
        <v>3541</v>
      </c>
      <c r="C203" s="199" t="s">
        <v>25</v>
      </c>
      <c r="D203" s="199" t="s">
        <v>17</v>
      </c>
      <c r="E203" s="199">
        <v>10</v>
      </c>
      <c r="F203" s="199" t="s">
        <v>3385</v>
      </c>
      <c r="G203" s="199" t="s">
        <v>3385</v>
      </c>
      <c r="H203" s="200">
        <v>2716.8</v>
      </c>
      <c r="I203" s="199" t="s">
        <v>38</v>
      </c>
      <c r="J203" s="199" t="s">
        <v>415</v>
      </c>
      <c r="K203" s="201">
        <v>45622</v>
      </c>
      <c r="L203" s="199" t="s">
        <v>3504</v>
      </c>
      <c r="M203" s="199" t="s">
        <v>3320</v>
      </c>
    </row>
    <row r="204" spans="1:13" ht="85.5">
      <c r="A204" s="199">
        <v>203</v>
      </c>
      <c r="B204" s="199" t="s">
        <v>3542</v>
      </c>
      <c r="C204" s="199" t="s">
        <v>25</v>
      </c>
      <c r="D204" s="199" t="s">
        <v>17</v>
      </c>
      <c r="E204" s="199">
        <v>130</v>
      </c>
      <c r="F204" s="199" t="s">
        <v>3385</v>
      </c>
      <c r="G204" s="199" t="s">
        <v>3385</v>
      </c>
      <c r="H204" s="200">
        <v>28986.1</v>
      </c>
      <c r="I204" s="199" t="s">
        <v>38</v>
      </c>
      <c r="J204" s="199" t="s">
        <v>415</v>
      </c>
      <c r="K204" s="201">
        <v>45622</v>
      </c>
      <c r="L204" s="199" t="s">
        <v>3504</v>
      </c>
      <c r="M204" s="199" t="s">
        <v>3320</v>
      </c>
    </row>
    <row r="205" spans="1:13" ht="85.5">
      <c r="A205" s="199">
        <v>204</v>
      </c>
      <c r="B205" s="199" t="s">
        <v>3543</v>
      </c>
      <c r="C205" s="199" t="s">
        <v>25</v>
      </c>
      <c r="D205" s="199" t="s">
        <v>17</v>
      </c>
      <c r="E205" s="199">
        <v>20</v>
      </c>
      <c r="F205" s="199" t="s">
        <v>3385</v>
      </c>
      <c r="G205" s="199" t="s">
        <v>3385</v>
      </c>
      <c r="H205" s="200">
        <v>4459.3999999999996</v>
      </c>
      <c r="I205" s="199" t="s">
        <v>38</v>
      </c>
      <c r="J205" s="199" t="s">
        <v>415</v>
      </c>
      <c r="K205" s="201">
        <v>45622</v>
      </c>
      <c r="L205" s="199" t="s">
        <v>3504</v>
      </c>
      <c r="M205" s="199" t="s">
        <v>3320</v>
      </c>
    </row>
    <row r="206" spans="1:13" ht="99.75">
      <c r="A206" s="199">
        <v>205</v>
      </c>
      <c r="B206" s="199" t="s">
        <v>3544</v>
      </c>
      <c r="C206" s="199" t="s">
        <v>25</v>
      </c>
      <c r="D206" s="199" t="s">
        <v>17</v>
      </c>
      <c r="E206" s="199">
        <v>10</v>
      </c>
      <c r="F206" s="199" t="s">
        <v>3385</v>
      </c>
      <c r="G206" s="199" t="s">
        <v>3385</v>
      </c>
      <c r="H206" s="200">
        <v>2229.6999999999998</v>
      </c>
      <c r="I206" s="199" t="s">
        <v>38</v>
      </c>
      <c r="J206" s="199" t="s">
        <v>415</v>
      </c>
      <c r="K206" s="201">
        <v>45622</v>
      </c>
      <c r="L206" s="199" t="s">
        <v>3504</v>
      </c>
      <c r="M206" s="199" t="s">
        <v>3320</v>
      </c>
    </row>
    <row r="207" spans="1:13" ht="57">
      <c r="A207" s="199">
        <v>206</v>
      </c>
      <c r="B207" s="199" t="s">
        <v>3545</v>
      </c>
      <c r="C207" s="199" t="s">
        <v>25</v>
      </c>
      <c r="D207" s="199" t="s">
        <v>17</v>
      </c>
      <c r="E207" s="199">
        <v>200</v>
      </c>
      <c r="F207" s="199" t="s">
        <v>3385</v>
      </c>
      <c r="G207" s="199" t="s">
        <v>3385</v>
      </c>
      <c r="H207" s="200">
        <v>44594</v>
      </c>
      <c r="I207" s="199" t="s">
        <v>38</v>
      </c>
      <c r="J207" s="199" t="s">
        <v>415</v>
      </c>
      <c r="K207" s="201">
        <v>45622</v>
      </c>
      <c r="L207" s="199" t="s">
        <v>3504</v>
      </c>
      <c r="M207" s="199" t="s">
        <v>3320</v>
      </c>
    </row>
    <row r="208" spans="1:13" ht="71.25">
      <c r="A208" s="199">
        <v>207</v>
      </c>
      <c r="B208" s="199" t="s">
        <v>3546</v>
      </c>
      <c r="C208" s="199" t="s">
        <v>25</v>
      </c>
      <c r="D208" s="199" t="s">
        <v>17</v>
      </c>
      <c r="E208" s="199">
        <v>10</v>
      </c>
      <c r="F208" s="199" t="s">
        <v>3385</v>
      </c>
      <c r="G208" s="199" t="s">
        <v>3385</v>
      </c>
      <c r="H208" s="200">
        <v>2229.6999999999998</v>
      </c>
      <c r="I208" s="199" t="s">
        <v>38</v>
      </c>
      <c r="J208" s="199" t="s">
        <v>415</v>
      </c>
      <c r="K208" s="201">
        <v>45622</v>
      </c>
      <c r="L208" s="199" t="s">
        <v>3504</v>
      </c>
      <c r="M208" s="199" t="s">
        <v>3320</v>
      </c>
    </row>
    <row r="209" spans="1:13" ht="85.5">
      <c r="A209" s="199">
        <v>208</v>
      </c>
      <c r="B209" s="199" t="s">
        <v>3547</v>
      </c>
      <c r="C209" s="199" t="s">
        <v>25</v>
      </c>
      <c r="D209" s="199" t="s">
        <v>17</v>
      </c>
      <c r="E209" s="199">
        <v>10</v>
      </c>
      <c r="F209" s="199" t="s">
        <v>3385</v>
      </c>
      <c r="G209" s="199" t="s">
        <v>3385</v>
      </c>
      <c r="H209" s="200">
        <v>2229.6999999999998</v>
      </c>
      <c r="I209" s="199" t="s">
        <v>38</v>
      </c>
      <c r="J209" s="199" t="s">
        <v>415</v>
      </c>
      <c r="K209" s="201">
        <v>45622</v>
      </c>
      <c r="L209" s="199" t="s">
        <v>3504</v>
      </c>
      <c r="M209" s="199" t="s">
        <v>3320</v>
      </c>
    </row>
    <row r="210" spans="1:13" ht="114">
      <c r="A210" s="199">
        <v>209</v>
      </c>
      <c r="B210" s="199" t="s">
        <v>3548</v>
      </c>
      <c r="C210" s="199" t="s">
        <v>25</v>
      </c>
      <c r="D210" s="199" t="s">
        <v>17</v>
      </c>
      <c r="E210" s="199">
        <v>10</v>
      </c>
      <c r="F210" s="199" t="s">
        <v>3385</v>
      </c>
      <c r="G210" s="199" t="s">
        <v>3385</v>
      </c>
      <c r="H210" s="200">
        <v>2229.6999999999998</v>
      </c>
      <c r="I210" s="199" t="s">
        <v>38</v>
      </c>
      <c r="J210" s="199" t="s">
        <v>415</v>
      </c>
      <c r="K210" s="201">
        <v>45622</v>
      </c>
      <c r="L210" s="199" t="s">
        <v>3504</v>
      </c>
      <c r="M210" s="199" t="s">
        <v>3320</v>
      </c>
    </row>
    <row r="211" spans="1:13" ht="85.5">
      <c r="A211" s="199">
        <v>210</v>
      </c>
      <c r="B211" s="199" t="s">
        <v>3549</v>
      </c>
      <c r="C211" s="199" t="s">
        <v>25</v>
      </c>
      <c r="D211" s="199" t="s">
        <v>17</v>
      </c>
      <c r="E211" s="199">
        <v>20</v>
      </c>
      <c r="F211" s="199" t="s">
        <v>3385</v>
      </c>
      <c r="G211" s="199" t="s">
        <v>3385</v>
      </c>
      <c r="H211" s="200">
        <v>4459.3999999999996</v>
      </c>
      <c r="I211" s="199" t="s">
        <v>38</v>
      </c>
      <c r="J211" s="199" t="s">
        <v>415</v>
      </c>
      <c r="K211" s="201">
        <v>45622</v>
      </c>
      <c r="L211" s="199" t="s">
        <v>3504</v>
      </c>
      <c r="M211" s="199" t="s">
        <v>3320</v>
      </c>
    </row>
    <row r="212" spans="1:13" ht="71.25">
      <c r="A212" s="199">
        <v>211</v>
      </c>
      <c r="B212" s="199" t="s">
        <v>3550</v>
      </c>
      <c r="C212" s="199" t="s">
        <v>25</v>
      </c>
      <c r="D212" s="199" t="s">
        <v>17</v>
      </c>
      <c r="E212" s="199">
        <v>10</v>
      </c>
      <c r="F212" s="199" t="s">
        <v>3385</v>
      </c>
      <c r="G212" s="199" t="s">
        <v>3385</v>
      </c>
      <c r="H212" s="200">
        <v>2922.9</v>
      </c>
      <c r="I212" s="199" t="s">
        <v>38</v>
      </c>
      <c r="J212" s="199" t="s">
        <v>415</v>
      </c>
      <c r="K212" s="201">
        <v>45622</v>
      </c>
      <c r="L212" s="199" t="s">
        <v>3504</v>
      </c>
      <c r="M212" s="199" t="s">
        <v>3320</v>
      </c>
    </row>
    <row r="213" spans="1:13" ht="99.75">
      <c r="A213" s="199">
        <v>212</v>
      </c>
      <c r="B213" s="199" t="s">
        <v>3551</v>
      </c>
      <c r="C213" s="199" t="s">
        <v>25</v>
      </c>
      <c r="D213" s="199" t="s">
        <v>17</v>
      </c>
      <c r="E213" s="199">
        <v>30</v>
      </c>
      <c r="F213" s="199" t="s">
        <v>3385</v>
      </c>
      <c r="G213" s="199" t="s">
        <v>3385</v>
      </c>
      <c r="H213" s="200">
        <v>8544</v>
      </c>
      <c r="I213" s="199" t="s">
        <v>38</v>
      </c>
      <c r="J213" s="199" t="s">
        <v>415</v>
      </c>
      <c r="K213" s="201">
        <v>45622</v>
      </c>
      <c r="L213" s="199" t="s">
        <v>3504</v>
      </c>
      <c r="M213" s="199" t="s">
        <v>3320</v>
      </c>
    </row>
    <row r="214" spans="1:13" ht="71.25">
      <c r="A214" s="199">
        <v>213</v>
      </c>
      <c r="B214" s="199" t="s">
        <v>3552</v>
      </c>
      <c r="C214" s="199" t="s">
        <v>25</v>
      </c>
      <c r="D214" s="199" t="s">
        <v>17</v>
      </c>
      <c r="E214" s="199">
        <v>10</v>
      </c>
      <c r="F214" s="199" t="s">
        <v>3385</v>
      </c>
      <c r="G214" s="199" t="s">
        <v>3385</v>
      </c>
      <c r="H214" s="200">
        <v>3569.3</v>
      </c>
      <c r="I214" s="199" t="s">
        <v>38</v>
      </c>
      <c r="J214" s="199" t="s">
        <v>415</v>
      </c>
      <c r="K214" s="201">
        <v>45622</v>
      </c>
      <c r="L214" s="199" t="s">
        <v>3504</v>
      </c>
      <c r="M214" s="199" t="s">
        <v>3320</v>
      </c>
    </row>
    <row r="215" spans="1:13" ht="99.75">
      <c r="A215" s="199">
        <v>214</v>
      </c>
      <c r="B215" s="199" t="s">
        <v>3553</v>
      </c>
      <c r="C215" s="199" t="s">
        <v>25</v>
      </c>
      <c r="D215" s="199" t="s">
        <v>17</v>
      </c>
      <c r="E215" s="199">
        <v>200</v>
      </c>
      <c r="F215" s="199" t="s">
        <v>3385</v>
      </c>
      <c r="G215" s="199" t="s">
        <v>3385</v>
      </c>
      <c r="H215" s="200">
        <v>44594</v>
      </c>
      <c r="I215" s="199" t="s">
        <v>38</v>
      </c>
      <c r="J215" s="199" t="s">
        <v>415</v>
      </c>
      <c r="K215" s="201">
        <v>45622</v>
      </c>
      <c r="L215" s="199" t="s">
        <v>3504</v>
      </c>
      <c r="M215" s="199" t="s">
        <v>3320</v>
      </c>
    </row>
    <row r="216" spans="1:13" ht="85.5">
      <c r="A216" s="199">
        <v>215</v>
      </c>
      <c r="B216" s="199" t="s">
        <v>3554</v>
      </c>
      <c r="C216" s="199" t="s">
        <v>25</v>
      </c>
      <c r="D216" s="199" t="s">
        <v>17</v>
      </c>
      <c r="E216" s="199">
        <v>80</v>
      </c>
      <c r="F216" s="199" t="s">
        <v>3385</v>
      </c>
      <c r="G216" s="199" t="s">
        <v>3385</v>
      </c>
      <c r="H216" s="200">
        <v>17837.599999999999</v>
      </c>
      <c r="I216" s="199" t="s">
        <v>38</v>
      </c>
      <c r="J216" s="199" t="s">
        <v>415</v>
      </c>
      <c r="K216" s="201">
        <v>45622</v>
      </c>
      <c r="L216" s="199" t="s">
        <v>3504</v>
      </c>
      <c r="M216" s="199" t="s">
        <v>3320</v>
      </c>
    </row>
    <row r="217" spans="1:13" ht="57">
      <c r="A217" s="199">
        <v>216</v>
      </c>
      <c r="B217" s="199" t="s">
        <v>3555</v>
      </c>
      <c r="C217" s="199" t="s">
        <v>25</v>
      </c>
      <c r="D217" s="199" t="s">
        <v>17</v>
      </c>
      <c r="E217" s="199">
        <v>10</v>
      </c>
      <c r="F217" s="199" t="s">
        <v>3385</v>
      </c>
      <c r="G217" s="199" t="s">
        <v>3385</v>
      </c>
      <c r="H217" s="200">
        <v>2229.6999999999998</v>
      </c>
      <c r="I217" s="199" t="s">
        <v>38</v>
      </c>
      <c r="J217" s="199" t="s">
        <v>415</v>
      </c>
      <c r="K217" s="201">
        <v>45622</v>
      </c>
      <c r="L217" s="199" t="s">
        <v>3504</v>
      </c>
      <c r="M217" s="199" t="s">
        <v>3320</v>
      </c>
    </row>
    <row r="218" spans="1:13" ht="199.5">
      <c r="A218" s="199">
        <v>217</v>
      </c>
      <c r="B218" s="199" t="s">
        <v>3556</v>
      </c>
      <c r="C218" s="199" t="s">
        <v>25</v>
      </c>
      <c r="D218" s="199" t="s">
        <v>17</v>
      </c>
      <c r="E218" s="199">
        <v>10</v>
      </c>
      <c r="F218" s="199" t="s">
        <v>3385</v>
      </c>
      <c r="G218" s="199" t="s">
        <v>3385</v>
      </c>
      <c r="H218" s="200">
        <v>2435.1999999999998</v>
      </c>
      <c r="I218" s="199" t="s">
        <v>38</v>
      </c>
      <c r="J218" s="199" t="s">
        <v>415</v>
      </c>
      <c r="K218" s="201">
        <v>45622</v>
      </c>
      <c r="L218" s="199" t="s">
        <v>3504</v>
      </c>
      <c r="M218" s="199" t="s">
        <v>3320</v>
      </c>
    </row>
    <row r="219" spans="1:13" ht="57">
      <c r="A219" s="199">
        <v>218</v>
      </c>
      <c r="B219" s="199" t="s">
        <v>3557</v>
      </c>
      <c r="C219" s="199" t="s">
        <v>25</v>
      </c>
      <c r="D219" s="199" t="s">
        <v>17</v>
      </c>
      <c r="E219" s="199">
        <v>10</v>
      </c>
      <c r="F219" s="199" t="s">
        <v>3385</v>
      </c>
      <c r="G219" s="199" t="s">
        <v>3385</v>
      </c>
      <c r="H219" s="200">
        <v>2716.8</v>
      </c>
      <c r="I219" s="199" t="s">
        <v>38</v>
      </c>
      <c r="J219" s="199" t="s">
        <v>415</v>
      </c>
      <c r="K219" s="201">
        <v>45622</v>
      </c>
      <c r="L219" s="199" t="s">
        <v>3504</v>
      </c>
      <c r="M219" s="199" t="s">
        <v>3320</v>
      </c>
    </row>
    <row r="220" spans="1:13" ht="57">
      <c r="A220" s="199">
        <v>219</v>
      </c>
      <c r="B220" s="199" t="s">
        <v>3558</v>
      </c>
      <c r="C220" s="199" t="s">
        <v>25</v>
      </c>
      <c r="D220" s="199" t="s">
        <v>17</v>
      </c>
      <c r="E220" s="199">
        <v>10</v>
      </c>
      <c r="F220" s="199" t="s">
        <v>3385</v>
      </c>
      <c r="G220" s="199" t="s">
        <v>3385</v>
      </c>
      <c r="H220" s="200">
        <v>2229.6999999999998</v>
      </c>
      <c r="I220" s="199" t="s">
        <v>38</v>
      </c>
      <c r="J220" s="199" t="s">
        <v>415</v>
      </c>
      <c r="K220" s="201">
        <v>45622</v>
      </c>
      <c r="L220" s="199" t="s">
        <v>3504</v>
      </c>
      <c r="M220" s="199" t="s">
        <v>3320</v>
      </c>
    </row>
    <row r="221" spans="1:13" ht="71.25">
      <c r="A221" s="199">
        <v>220</v>
      </c>
      <c r="B221" s="199" t="s">
        <v>3559</v>
      </c>
      <c r="C221" s="199" t="s">
        <v>25</v>
      </c>
      <c r="D221" s="199" t="s">
        <v>17</v>
      </c>
      <c r="E221" s="199">
        <v>20</v>
      </c>
      <c r="F221" s="199" t="s">
        <v>3385</v>
      </c>
      <c r="G221" s="199" t="s">
        <v>3385</v>
      </c>
      <c r="H221" s="200">
        <v>4459.3999999999996</v>
      </c>
      <c r="I221" s="199" t="s">
        <v>38</v>
      </c>
      <c r="J221" s="199" t="s">
        <v>415</v>
      </c>
      <c r="K221" s="201">
        <v>45622</v>
      </c>
      <c r="L221" s="199" t="s">
        <v>3504</v>
      </c>
      <c r="M221" s="199" t="s">
        <v>3320</v>
      </c>
    </row>
    <row r="222" spans="1:13" ht="57">
      <c r="A222" s="199">
        <v>221</v>
      </c>
      <c r="B222" s="199" t="s">
        <v>3560</v>
      </c>
      <c r="C222" s="199" t="s">
        <v>25</v>
      </c>
      <c r="D222" s="199" t="s">
        <v>17</v>
      </c>
      <c r="E222" s="199">
        <v>30</v>
      </c>
      <c r="F222" s="199" t="s">
        <v>3385</v>
      </c>
      <c r="G222" s="199" t="s">
        <v>3385</v>
      </c>
      <c r="H222" s="200">
        <v>6689.1</v>
      </c>
      <c r="I222" s="199" t="s">
        <v>38</v>
      </c>
      <c r="J222" s="199" t="s">
        <v>415</v>
      </c>
      <c r="K222" s="201">
        <v>45622</v>
      </c>
      <c r="L222" s="199" t="s">
        <v>3504</v>
      </c>
      <c r="M222" s="199" t="s">
        <v>3320</v>
      </c>
    </row>
    <row r="223" spans="1:13" ht="85.5">
      <c r="A223" s="199">
        <v>222</v>
      </c>
      <c r="B223" s="199" t="s">
        <v>3561</v>
      </c>
      <c r="C223" s="199" t="s">
        <v>25</v>
      </c>
      <c r="D223" s="199" t="s">
        <v>17</v>
      </c>
      <c r="E223" s="199">
        <v>10</v>
      </c>
      <c r="F223" s="199" t="s">
        <v>3385</v>
      </c>
      <c r="G223" s="199" t="s">
        <v>3385</v>
      </c>
      <c r="H223" s="200">
        <v>2229.6999999999998</v>
      </c>
      <c r="I223" s="199" t="s">
        <v>38</v>
      </c>
      <c r="J223" s="199" t="s">
        <v>415</v>
      </c>
      <c r="K223" s="201">
        <v>45622</v>
      </c>
      <c r="L223" s="199" t="s">
        <v>3504</v>
      </c>
      <c r="M223" s="199" t="s">
        <v>3320</v>
      </c>
    </row>
    <row r="224" spans="1:13" ht="114">
      <c r="A224" s="199">
        <v>223</v>
      </c>
      <c r="B224" s="199" t="s">
        <v>3562</v>
      </c>
      <c r="C224" s="199" t="s">
        <v>25</v>
      </c>
      <c r="D224" s="199" t="s">
        <v>17</v>
      </c>
      <c r="E224" s="199">
        <v>30</v>
      </c>
      <c r="F224" s="199" t="s">
        <v>3385</v>
      </c>
      <c r="G224" s="199" t="s">
        <v>3385</v>
      </c>
      <c r="H224" s="200">
        <v>6689.1</v>
      </c>
      <c r="I224" s="199" t="s">
        <v>38</v>
      </c>
      <c r="J224" s="199" t="s">
        <v>415</v>
      </c>
      <c r="K224" s="201">
        <v>45622</v>
      </c>
      <c r="L224" s="199" t="s">
        <v>3504</v>
      </c>
      <c r="M224" s="199" t="s">
        <v>3320</v>
      </c>
    </row>
    <row r="225" spans="1:13" ht="71.25">
      <c r="A225" s="199">
        <v>224</v>
      </c>
      <c r="B225" s="199" t="s">
        <v>3563</v>
      </c>
      <c r="C225" s="199" t="s">
        <v>25</v>
      </c>
      <c r="D225" s="199" t="s">
        <v>17</v>
      </c>
      <c r="E225" s="199">
        <v>10</v>
      </c>
      <c r="F225" s="199" t="s">
        <v>3385</v>
      </c>
      <c r="G225" s="199" t="s">
        <v>3385</v>
      </c>
      <c r="H225" s="200">
        <v>2229.6999999999998</v>
      </c>
      <c r="I225" s="199" t="s">
        <v>38</v>
      </c>
      <c r="J225" s="199" t="s">
        <v>415</v>
      </c>
      <c r="K225" s="201">
        <v>45622</v>
      </c>
      <c r="L225" s="199" t="s">
        <v>3504</v>
      </c>
      <c r="M225" s="199" t="s">
        <v>3320</v>
      </c>
    </row>
    <row r="226" spans="1:13" ht="57">
      <c r="A226" s="199">
        <v>225</v>
      </c>
      <c r="B226" s="199" t="s">
        <v>3564</v>
      </c>
      <c r="C226" s="199" t="s">
        <v>25</v>
      </c>
      <c r="D226" s="199" t="s">
        <v>17</v>
      </c>
      <c r="E226" s="199">
        <v>350</v>
      </c>
      <c r="F226" s="199" t="s">
        <v>3385</v>
      </c>
      <c r="G226" s="199" t="s">
        <v>3385</v>
      </c>
      <c r="H226" s="200">
        <v>44243.5</v>
      </c>
      <c r="I226" s="199" t="s">
        <v>38</v>
      </c>
      <c r="J226" s="199" t="s">
        <v>415</v>
      </c>
      <c r="K226" s="201">
        <v>45622</v>
      </c>
      <c r="L226" s="199" t="s">
        <v>3504</v>
      </c>
      <c r="M226" s="199" t="s">
        <v>3320</v>
      </c>
    </row>
    <row r="227" spans="1:13" ht="57">
      <c r="A227" s="199">
        <v>226</v>
      </c>
      <c r="B227" s="199" t="s">
        <v>3565</v>
      </c>
      <c r="C227" s="199" t="s">
        <v>25</v>
      </c>
      <c r="D227" s="199" t="s">
        <v>17</v>
      </c>
      <c r="E227" s="199">
        <v>10</v>
      </c>
      <c r="F227" s="199" t="s">
        <v>3385</v>
      </c>
      <c r="G227" s="199" t="s">
        <v>3385</v>
      </c>
      <c r="H227" s="200">
        <v>3127.4</v>
      </c>
      <c r="I227" s="199" t="s">
        <v>38</v>
      </c>
      <c r="J227" s="199" t="s">
        <v>415</v>
      </c>
      <c r="K227" s="201">
        <v>45622</v>
      </c>
      <c r="L227" s="199" t="s">
        <v>3504</v>
      </c>
      <c r="M227" s="199" t="s">
        <v>3320</v>
      </c>
    </row>
    <row r="228" spans="1:13" ht="99.75">
      <c r="A228" s="199">
        <v>227</v>
      </c>
      <c r="B228" s="199" t="s">
        <v>3566</v>
      </c>
      <c r="C228" s="199" t="s">
        <v>25</v>
      </c>
      <c r="D228" s="199" t="s">
        <v>17</v>
      </c>
      <c r="E228" s="199">
        <v>5</v>
      </c>
      <c r="F228" s="199" t="s">
        <v>3385</v>
      </c>
      <c r="G228" s="199" t="s">
        <v>3385</v>
      </c>
      <c r="H228" s="200">
        <v>1563.7</v>
      </c>
      <c r="I228" s="199" t="s">
        <v>38</v>
      </c>
      <c r="J228" s="199" t="s">
        <v>415</v>
      </c>
      <c r="K228" s="201">
        <v>45622</v>
      </c>
      <c r="L228" s="199" t="s">
        <v>3504</v>
      </c>
      <c r="M228" s="199" t="s">
        <v>3320</v>
      </c>
    </row>
    <row r="229" spans="1:13" ht="99.75">
      <c r="A229" s="199">
        <v>228</v>
      </c>
      <c r="B229" s="199" t="s">
        <v>3567</v>
      </c>
      <c r="C229" s="199" t="s">
        <v>25</v>
      </c>
      <c r="D229" s="199" t="s">
        <v>17</v>
      </c>
      <c r="E229" s="199">
        <v>10</v>
      </c>
      <c r="F229" s="199" t="s">
        <v>3385</v>
      </c>
      <c r="G229" s="199" t="s">
        <v>3385</v>
      </c>
      <c r="H229" s="200">
        <v>3127.4</v>
      </c>
      <c r="I229" s="199" t="s">
        <v>38</v>
      </c>
      <c r="J229" s="199" t="s">
        <v>415</v>
      </c>
      <c r="K229" s="201">
        <v>45622</v>
      </c>
      <c r="L229" s="199" t="s">
        <v>3504</v>
      </c>
      <c r="M229" s="199" t="s">
        <v>3320</v>
      </c>
    </row>
    <row r="230" spans="1:13" ht="71.25">
      <c r="A230" s="199">
        <v>229</v>
      </c>
      <c r="B230" s="199" t="s">
        <v>3568</v>
      </c>
      <c r="C230" s="199" t="s">
        <v>25</v>
      </c>
      <c r="D230" s="199" t="s">
        <v>17</v>
      </c>
      <c r="E230" s="199">
        <v>5</v>
      </c>
      <c r="F230" s="199" t="s">
        <v>3385</v>
      </c>
      <c r="G230" s="199" t="s">
        <v>3385</v>
      </c>
      <c r="H230" s="200">
        <v>1563.7</v>
      </c>
      <c r="I230" s="199" t="s">
        <v>38</v>
      </c>
      <c r="J230" s="199" t="s">
        <v>415</v>
      </c>
      <c r="K230" s="201">
        <v>45622</v>
      </c>
      <c r="L230" s="199" t="s">
        <v>3504</v>
      </c>
      <c r="M230" s="199" t="s">
        <v>3320</v>
      </c>
    </row>
    <row r="231" spans="1:13" ht="71.25">
      <c r="A231" s="199">
        <v>230</v>
      </c>
      <c r="B231" s="199" t="s">
        <v>3569</v>
      </c>
      <c r="C231" s="199" t="s">
        <v>25</v>
      </c>
      <c r="D231" s="199" t="s">
        <v>17</v>
      </c>
      <c r="E231" s="199">
        <v>5</v>
      </c>
      <c r="F231" s="199" t="s">
        <v>3385</v>
      </c>
      <c r="G231" s="199" t="s">
        <v>3385</v>
      </c>
      <c r="H231" s="200">
        <v>1563.7</v>
      </c>
      <c r="I231" s="199" t="s">
        <v>38</v>
      </c>
      <c r="J231" s="199" t="s">
        <v>415</v>
      </c>
      <c r="K231" s="201">
        <v>45622</v>
      </c>
      <c r="L231" s="199" t="s">
        <v>3504</v>
      </c>
      <c r="M231" s="199" t="s">
        <v>3320</v>
      </c>
    </row>
    <row r="232" spans="1:13" ht="99.75">
      <c r="A232" s="199">
        <v>231</v>
      </c>
      <c r="B232" s="199" t="s">
        <v>3570</v>
      </c>
      <c r="C232" s="199" t="s">
        <v>25</v>
      </c>
      <c r="D232" s="199" t="s">
        <v>17</v>
      </c>
      <c r="E232" s="199">
        <v>5</v>
      </c>
      <c r="F232" s="199" t="s">
        <v>3385</v>
      </c>
      <c r="G232" s="199" t="s">
        <v>3385</v>
      </c>
      <c r="H232" s="200">
        <v>1563.7</v>
      </c>
      <c r="I232" s="199" t="s">
        <v>38</v>
      </c>
      <c r="J232" s="199" t="s">
        <v>415</v>
      </c>
      <c r="K232" s="201">
        <v>45622</v>
      </c>
      <c r="L232" s="199" t="s">
        <v>3504</v>
      </c>
      <c r="M232" s="199" t="s">
        <v>3320</v>
      </c>
    </row>
    <row r="233" spans="1:13" ht="57">
      <c r="A233" s="199">
        <v>232</v>
      </c>
      <c r="B233" s="199" t="s">
        <v>3571</v>
      </c>
      <c r="C233" s="199" t="s">
        <v>25</v>
      </c>
      <c r="D233" s="199" t="s">
        <v>17</v>
      </c>
      <c r="E233" s="199">
        <v>20</v>
      </c>
      <c r="F233" s="199" t="s">
        <v>3385</v>
      </c>
      <c r="G233" s="199" t="s">
        <v>3385</v>
      </c>
      <c r="H233" s="200">
        <v>5565.2</v>
      </c>
      <c r="I233" s="199" t="s">
        <v>38</v>
      </c>
      <c r="J233" s="199" t="s">
        <v>415</v>
      </c>
      <c r="K233" s="201">
        <v>45622</v>
      </c>
      <c r="L233" s="199" t="s">
        <v>3504</v>
      </c>
      <c r="M233" s="199" t="s">
        <v>3320</v>
      </c>
    </row>
    <row r="234" spans="1:13" ht="85.5">
      <c r="A234" s="199">
        <v>233</v>
      </c>
      <c r="B234" s="199" t="s">
        <v>3572</v>
      </c>
      <c r="C234" s="199" t="s">
        <v>25</v>
      </c>
      <c r="D234" s="199" t="s">
        <v>17</v>
      </c>
      <c r="E234" s="199">
        <v>10</v>
      </c>
      <c r="F234" s="199" t="s">
        <v>3385</v>
      </c>
      <c r="G234" s="199" t="s">
        <v>3385</v>
      </c>
      <c r="H234" s="200">
        <v>3127.4</v>
      </c>
      <c r="I234" s="199" t="s">
        <v>38</v>
      </c>
      <c r="J234" s="199" t="s">
        <v>415</v>
      </c>
      <c r="K234" s="201">
        <v>45622</v>
      </c>
      <c r="L234" s="199" t="s">
        <v>3504</v>
      </c>
      <c r="M234" s="199" t="s">
        <v>3320</v>
      </c>
    </row>
    <row r="235" spans="1:13" ht="85.5">
      <c r="A235" s="199">
        <v>234</v>
      </c>
      <c r="B235" s="199" t="s">
        <v>3573</v>
      </c>
      <c r="C235" s="199" t="s">
        <v>25</v>
      </c>
      <c r="D235" s="199" t="s">
        <v>17</v>
      </c>
      <c r="E235" s="199">
        <v>5</v>
      </c>
      <c r="F235" s="199" t="s">
        <v>3385</v>
      </c>
      <c r="G235" s="199" t="s">
        <v>3385</v>
      </c>
      <c r="H235" s="200">
        <v>1961.1</v>
      </c>
      <c r="I235" s="199" t="s">
        <v>38</v>
      </c>
      <c r="J235" s="199" t="s">
        <v>415</v>
      </c>
      <c r="K235" s="201">
        <v>45622</v>
      </c>
      <c r="L235" s="199" t="s">
        <v>3504</v>
      </c>
      <c r="M235" s="199" t="s">
        <v>3320</v>
      </c>
    </row>
    <row r="236" spans="1:13" ht="71.25">
      <c r="A236" s="199">
        <v>235</v>
      </c>
      <c r="B236" s="199" t="s">
        <v>3574</v>
      </c>
      <c r="C236" s="199" t="s">
        <v>25</v>
      </c>
      <c r="D236" s="199" t="s">
        <v>17</v>
      </c>
      <c r="E236" s="199">
        <v>5</v>
      </c>
      <c r="F236" s="199" t="s">
        <v>3385</v>
      </c>
      <c r="G236" s="199" t="s">
        <v>3385</v>
      </c>
      <c r="H236" s="200">
        <v>1563.7</v>
      </c>
      <c r="I236" s="199" t="s">
        <v>38</v>
      </c>
      <c r="J236" s="199" t="s">
        <v>415</v>
      </c>
      <c r="K236" s="201">
        <v>45622</v>
      </c>
      <c r="L236" s="199" t="s">
        <v>3504</v>
      </c>
      <c r="M236" s="199" t="s">
        <v>3320</v>
      </c>
    </row>
    <row r="237" spans="1:13" ht="57">
      <c r="A237" s="199">
        <v>236</v>
      </c>
      <c r="B237" s="199" t="s">
        <v>3575</v>
      </c>
      <c r="C237" s="199" t="s">
        <v>25</v>
      </c>
      <c r="D237" s="199" t="s">
        <v>17</v>
      </c>
      <c r="E237" s="199">
        <v>5</v>
      </c>
      <c r="F237" s="199" t="s">
        <v>3385</v>
      </c>
      <c r="G237" s="199" t="s">
        <v>3385</v>
      </c>
      <c r="H237" s="200">
        <v>1563.7</v>
      </c>
      <c r="I237" s="199" t="s">
        <v>38</v>
      </c>
      <c r="J237" s="199" t="s">
        <v>415</v>
      </c>
      <c r="K237" s="201">
        <v>45622</v>
      </c>
      <c r="L237" s="199" t="s">
        <v>3504</v>
      </c>
      <c r="M237" s="199" t="s">
        <v>3320</v>
      </c>
    </row>
    <row r="238" spans="1:13" ht="57">
      <c r="A238" s="199">
        <v>237</v>
      </c>
      <c r="B238" s="199" t="s">
        <v>3576</v>
      </c>
      <c r="C238" s="199" t="s">
        <v>25</v>
      </c>
      <c r="D238" s="199" t="s">
        <v>17</v>
      </c>
      <c r="E238" s="199">
        <v>5</v>
      </c>
      <c r="F238" s="199" t="s">
        <v>3385</v>
      </c>
      <c r="G238" s="199" t="s">
        <v>3385</v>
      </c>
      <c r="H238" s="200">
        <v>1563.7</v>
      </c>
      <c r="I238" s="199" t="s">
        <v>38</v>
      </c>
      <c r="J238" s="199" t="s">
        <v>415</v>
      </c>
      <c r="K238" s="201">
        <v>45622</v>
      </c>
      <c r="L238" s="199" t="s">
        <v>3504</v>
      </c>
      <c r="M238" s="199" t="s">
        <v>3320</v>
      </c>
    </row>
    <row r="239" spans="1:13" ht="57">
      <c r="A239" s="199">
        <v>238</v>
      </c>
      <c r="B239" s="199" t="s">
        <v>3577</v>
      </c>
      <c r="C239" s="199" t="s">
        <v>25</v>
      </c>
      <c r="D239" s="199" t="s">
        <v>17</v>
      </c>
      <c r="E239" s="199">
        <v>10</v>
      </c>
      <c r="F239" s="199" t="s">
        <v>3385</v>
      </c>
      <c r="G239" s="199" t="s">
        <v>3385</v>
      </c>
      <c r="H239" s="200">
        <v>3127.4</v>
      </c>
      <c r="I239" s="199" t="s">
        <v>38</v>
      </c>
      <c r="J239" s="199" t="s">
        <v>415</v>
      </c>
      <c r="K239" s="201">
        <v>45622</v>
      </c>
      <c r="L239" s="199" t="s">
        <v>3504</v>
      </c>
      <c r="M239" s="199" t="s">
        <v>3320</v>
      </c>
    </row>
    <row r="240" spans="1:13" ht="57">
      <c r="A240" s="199">
        <v>239</v>
      </c>
      <c r="B240" s="199" t="s">
        <v>3578</v>
      </c>
      <c r="C240" s="199" t="s">
        <v>25</v>
      </c>
      <c r="D240" s="199" t="s">
        <v>17</v>
      </c>
      <c r="E240" s="199">
        <v>5</v>
      </c>
      <c r="F240" s="199" t="s">
        <v>3385</v>
      </c>
      <c r="G240" s="199" t="s">
        <v>3385</v>
      </c>
      <c r="H240" s="200">
        <v>1563.7</v>
      </c>
      <c r="I240" s="199" t="s">
        <v>38</v>
      </c>
      <c r="J240" s="199" t="s">
        <v>415</v>
      </c>
      <c r="K240" s="201">
        <v>45622</v>
      </c>
      <c r="L240" s="199" t="s">
        <v>3504</v>
      </c>
      <c r="M240" s="199" t="s">
        <v>3320</v>
      </c>
    </row>
    <row r="241" spans="1:13" ht="57">
      <c r="A241" s="199">
        <v>240</v>
      </c>
      <c r="B241" s="199" t="s">
        <v>3579</v>
      </c>
      <c r="C241" s="199" t="s">
        <v>25</v>
      </c>
      <c r="D241" s="199" t="s">
        <v>17</v>
      </c>
      <c r="E241" s="199">
        <v>5</v>
      </c>
      <c r="F241" s="199" t="s">
        <v>3385</v>
      </c>
      <c r="G241" s="199" t="s">
        <v>3385</v>
      </c>
      <c r="H241" s="200">
        <v>1563.7</v>
      </c>
      <c r="I241" s="199" t="s">
        <v>38</v>
      </c>
      <c r="J241" s="199" t="s">
        <v>415</v>
      </c>
      <c r="K241" s="201">
        <v>45622</v>
      </c>
      <c r="L241" s="199" t="s">
        <v>3504</v>
      </c>
      <c r="M241" s="199" t="s">
        <v>3320</v>
      </c>
    </row>
    <row r="242" spans="1:13" ht="142.5">
      <c r="A242" s="199">
        <v>241</v>
      </c>
      <c r="B242" s="199" t="s">
        <v>3580</v>
      </c>
      <c r="C242" s="199" t="s">
        <v>25</v>
      </c>
      <c r="D242" s="199" t="s">
        <v>17</v>
      </c>
      <c r="E242" s="199">
        <v>10</v>
      </c>
      <c r="F242" s="199" t="s">
        <v>3385</v>
      </c>
      <c r="G242" s="199" t="s">
        <v>3385</v>
      </c>
      <c r="H242" s="200">
        <v>1436.5</v>
      </c>
      <c r="I242" s="199" t="s">
        <v>38</v>
      </c>
      <c r="J242" s="199" t="s">
        <v>415</v>
      </c>
      <c r="K242" s="201">
        <v>45622</v>
      </c>
      <c r="L242" s="199" t="s">
        <v>3504</v>
      </c>
      <c r="M242" s="199" t="s">
        <v>3320</v>
      </c>
    </row>
    <row r="243" spans="1:13" ht="142.5">
      <c r="A243" s="199">
        <v>242</v>
      </c>
      <c r="B243" s="199" t="s">
        <v>3581</v>
      </c>
      <c r="C243" s="199" t="s">
        <v>25</v>
      </c>
      <c r="D243" s="199" t="s">
        <v>17</v>
      </c>
      <c r="E243" s="199">
        <v>15</v>
      </c>
      <c r="F243" s="199" t="s">
        <v>3385</v>
      </c>
      <c r="G243" s="199" t="s">
        <v>3385</v>
      </c>
      <c r="H243" s="200">
        <v>2370.3000000000002</v>
      </c>
      <c r="I243" s="199" t="s">
        <v>38</v>
      </c>
      <c r="J243" s="199" t="s">
        <v>415</v>
      </c>
      <c r="K243" s="201">
        <v>45622</v>
      </c>
      <c r="L243" s="199" t="s">
        <v>3504</v>
      </c>
      <c r="M243" s="199" t="s">
        <v>3320</v>
      </c>
    </row>
    <row r="244" spans="1:13" ht="99.75">
      <c r="A244" s="199">
        <v>243</v>
      </c>
      <c r="B244" s="199" t="s">
        <v>3582</v>
      </c>
      <c r="C244" s="199" t="s">
        <v>25</v>
      </c>
      <c r="D244" s="199" t="s">
        <v>17</v>
      </c>
      <c r="E244" s="199">
        <v>70</v>
      </c>
      <c r="F244" s="199" t="s">
        <v>3385</v>
      </c>
      <c r="G244" s="199" t="s">
        <v>3385</v>
      </c>
      <c r="H244" s="200">
        <v>14661.5</v>
      </c>
      <c r="I244" s="199" t="s">
        <v>38</v>
      </c>
      <c r="J244" s="199" t="s">
        <v>415</v>
      </c>
      <c r="K244" s="201">
        <v>45622</v>
      </c>
      <c r="L244" s="199" t="s">
        <v>3504</v>
      </c>
      <c r="M244" s="199" t="s">
        <v>3320</v>
      </c>
    </row>
    <row r="245" spans="1:13" ht="85.5">
      <c r="A245" s="199">
        <v>244</v>
      </c>
      <c r="B245" s="199" t="s">
        <v>3583</v>
      </c>
      <c r="C245" s="199" t="s">
        <v>25</v>
      </c>
      <c r="D245" s="199" t="s">
        <v>17</v>
      </c>
      <c r="E245" s="199">
        <v>5</v>
      </c>
      <c r="F245" s="199" t="s">
        <v>3385</v>
      </c>
      <c r="G245" s="199" t="s">
        <v>3385</v>
      </c>
      <c r="H245" s="200">
        <v>905</v>
      </c>
      <c r="I245" s="199" t="s">
        <v>38</v>
      </c>
      <c r="J245" s="199" t="s">
        <v>415</v>
      </c>
      <c r="K245" s="201">
        <v>45622</v>
      </c>
      <c r="L245" s="199" t="s">
        <v>3504</v>
      </c>
      <c r="M245" s="199" t="s">
        <v>3320</v>
      </c>
    </row>
    <row r="246" spans="1:13" ht="85.5">
      <c r="A246" s="199">
        <v>245</v>
      </c>
      <c r="B246" s="199" t="s">
        <v>3584</v>
      </c>
      <c r="C246" s="199" t="s">
        <v>25</v>
      </c>
      <c r="D246" s="199" t="s">
        <v>17</v>
      </c>
      <c r="E246" s="199">
        <v>5</v>
      </c>
      <c r="F246" s="199" t="s">
        <v>3385</v>
      </c>
      <c r="G246" s="199" t="s">
        <v>3385</v>
      </c>
      <c r="H246" s="200">
        <v>905</v>
      </c>
      <c r="I246" s="199" t="s">
        <v>38</v>
      </c>
      <c r="J246" s="199" t="s">
        <v>415</v>
      </c>
      <c r="K246" s="201">
        <v>45622</v>
      </c>
      <c r="L246" s="199" t="s">
        <v>3504</v>
      </c>
      <c r="M246" s="199" t="s">
        <v>3320</v>
      </c>
    </row>
    <row r="247" spans="1:13" ht="85.5">
      <c r="A247" s="199">
        <v>246</v>
      </c>
      <c r="B247" s="199" t="s">
        <v>3585</v>
      </c>
      <c r="C247" s="199" t="s">
        <v>25</v>
      </c>
      <c r="D247" s="199" t="s">
        <v>17</v>
      </c>
      <c r="E247" s="199">
        <v>5</v>
      </c>
      <c r="F247" s="199" t="s">
        <v>3385</v>
      </c>
      <c r="G247" s="199" t="s">
        <v>3385</v>
      </c>
      <c r="H247" s="200">
        <v>905</v>
      </c>
      <c r="I247" s="199" t="s">
        <v>38</v>
      </c>
      <c r="J247" s="199" t="s">
        <v>415</v>
      </c>
      <c r="K247" s="201">
        <v>45622</v>
      </c>
      <c r="L247" s="199" t="s">
        <v>3504</v>
      </c>
      <c r="M247" s="199" t="s">
        <v>3320</v>
      </c>
    </row>
    <row r="248" spans="1:13" ht="71.25">
      <c r="A248" s="199">
        <v>247</v>
      </c>
      <c r="B248" s="199" t="s">
        <v>3586</v>
      </c>
      <c r="C248" s="199" t="s">
        <v>25</v>
      </c>
      <c r="D248" s="199" t="s">
        <v>17</v>
      </c>
      <c r="E248" s="199">
        <v>10</v>
      </c>
      <c r="F248" s="199" t="s">
        <v>3385</v>
      </c>
      <c r="G248" s="199" t="s">
        <v>3385</v>
      </c>
      <c r="H248" s="200">
        <v>1436.5</v>
      </c>
      <c r="I248" s="199" t="s">
        <v>38</v>
      </c>
      <c r="J248" s="199" t="s">
        <v>415</v>
      </c>
      <c r="K248" s="201">
        <v>45622</v>
      </c>
      <c r="L248" s="199" t="s">
        <v>3504</v>
      </c>
      <c r="M248" s="199" t="s">
        <v>3320</v>
      </c>
    </row>
    <row r="249" spans="1:13" ht="85.5">
      <c r="A249" s="199">
        <v>248</v>
      </c>
      <c r="B249" s="199" t="s">
        <v>3587</v>
      </c>
      <c r="C249" s="199" t="s">
        <v>25</v>
      </c>
      <c r="D249" s="199" t="s">
        <v>17</v>
      </c>
      <c r="E249" s="199">
        <v>10</v>
      </c>
      <c r="F249" s="199" t="s">
        <v>3385</v>
      </c>
      <c r="G249" s="199" t="s">
        <v>3385</v>
      </c>
      <c r="H249" s="200">
        <v>2094.5</v>
      </c>
      <c r="I249" s="199" t="s">
        <v>38</v>
      </c>
      <c r="J249" s="199" t="s">
        <v>415</v>
      </c>
      <c r="K249" s="201">
        <v>45622</v>
      </c>
      <c r="L249" s="199" t="s">
        <v>3504</v>
      </c>
      <c r="M249" s="199" t="s">
        <v>3320</v>
      </c>
    </row>
    <row r="250" spans="1:13" ht="85.5">
      <c r="A250" s="199">
        <v>249</v>
      </c>
      <c r="B250" s="199" t="s">
        <v>3588</v>
      </c>
      <c r="C250" s="199" t="s">
        <v>25</v>
      </c>
      <c r="D250" s="199" t="s">
        <v>17</v>
      </c>
      <c r="E250" s="199">
        <v>5</v>
      </c>
      <c r="F250" s="199" t="s">
        <v>3385</v>
      </c>
      <c r="G250" s="199" t="s">
        <v>3385</v>
      </c>
      <c r="H250" s="200">
        <v>1047.25</v>
      </c>
      <c r="I250" s="199" t="s">
        <v>38</v>
      </c>
      <c r="J250" s="199" t="s">
        <v>415</v>
      </c>
      <c r="K250" s="201">
        <v>45622</v>
      </c>
      <c r="L250" s="199" t="s">
        <v>3504</v>
      </c>
      <c r="M250" s="199" t="s">
        <v>3320</v>
      </c>
    </row>
    <row r="251" spans="1:13" ht="85.5">
      <c r="A251" s="199">
        <v>250</v>
      </c>
      <c r="B251" s="199" t="s">
        <v>3589</v>
      </c>
      <c r="C251" s="199" t="s">
        <v>25</v>
      </c>
      <c r="D251" s="199" t="s">
        <v>17</v>
      </c>
      <c r="E251" s="199">
        <v>15</v>
      </c>
      <c r="F251" s="199" t="s">
        <v>3385</v>
      </c>
      <c r="G251" s="199" t="s">
        <v>3385</v>
      </c>
      <c r="H251" s="200">
        <v>2154.75</v>
      </c>
      <c r="I251" s="199" t="s">
        <v>38</v>
      </c>
      <c r="J251" s="199" t="s">
        <v>415</v>
      </c>
      <c r="K251" s="201">
        <v>45622</v>
      </c>
      <c r="L251" s="199" t="s">
        <v>3504</v>
      </c>
      <c r="M251" s="199" t="s">
        <v>3320</v>
      </c>
    </row>
    <row r="252" spans="1:13" ht="85.5">
      <c r="A252" s="199">
        <v>251</v>
      </c>
      <c r="B252" s="199" t="s">
        <v>3590</v>
      </c>
      <c r="C252" s="199" t="s">
        <v>25</v>
      </c>
      <c r="D252" s="199" t="s">
        <v>17</v>
      </c>
      <c r="E252" s="199">
        <v>20</v>
      </c>
      <c r="F252" s="199" t="s">
        <v>3385</v>
      </c>
      <c r="G252" s="199" t="s">
        <v>3385</v>
      </c>
      <c r="H252" s="200">
        <v>3620</v>
      </c>
      <c r="I252" s="199" t="s">
        <v>38</v>
      </c>
      <c r="J252" s="199" t="s">
        <v>415</v>
      </c>
      <c r="K252" s="201">
        <v>45622</v>
      </c>
      <c r="L252" s="199" t="s">
        <v>3504</v>
      </c>
      <c r="M252" s="199" t="s">
        <v>3320</v>
      </c>
    </row>
    <row r="253" spans="1:13" ht="85.5">
      <c r="A253" s="199">
        <v>252</v>
      </c>
      <c r="B253" s="199" t="s">
        <v>3591</v>
      </c>
      <c r="C253" s="199" t="s">
        <v>25</v>
      </c>
      <c r="D253" s="199" t="s">
        <v>17</v>
      </c>
      <c r="E253" s="199">
        <v>5</v>
      </c>
      <c r="F253" s="199" t="s">
        <v>3385</v>
      </c>
      <c r="G253" s="199" t="s">
        <v>3385</v>
      </c>
      <c r="H253" s="200">
        <v>1046.2</v>
      </c>
      <c r="I253" s="199" t="s">
        <v>38</v>
      </c>
      <c r="J253" s="199" t="s">
        <v>415</v>
      </c>
      <c r="K253" s="201">
        <v>45622</v>
      </c>
      <c r="L253" s="199" t="s">
        <v>3504</v>
      </c>
      <c r="M253" s="199" t="s">
        <v>3320</v>
      </c>
    </row>
    <row r="254" spans="1:13" ht="85.5">
      <c r="A254" s="199">
        <v>253</v>
      </c>
      <c r="B254" s="199" t="s">
        <v>3592</v>
      </c>
      <c r="C254" s="199" t="s">
        <v>25</v>
      </c>
      <c r="D254" s="199" t="s">
        <v>17</v>
      </c>
      <c r="E254" s="199">
        <v>5</v>
      </c>
      <c r="F254" s="199" t="s">
        <v>3385</v>
      </c>
      <c r="G254" s="199" t="s">
        <v>3385</v>
      </c>
      <c r="H254" s="200">
        <v>865.65</v>
      </c>
      <c r="I254" s="199" t="s">
        <v>38</v>
      </c>
      <c r="J254" s="199" t="s">
        <v>415</v>
      </c>
      <c r="K254" s="201">
        <v>45622</v>
      </c>
      <c r="L254" s="199" t="s">
        <v>3504</v>
      </c>
      <c r="M254" s="199" t="s">
        <v>3320</v>
      </c>
    </row>
    <row r="255" spans="1:13" ht="85.5">
      <c r="A255" s="199">
        <v>254</v>
      </c>
      <c r="B255" s="199" t="s">
        <v>3593</v>
      </c>
      <c r="C255" s="199" t="s">
        <v>25</v>
      </c>
      <c r="D255" s="199" t="s">
        <v>17</v>
      </c>
      <c r="E255" s="199">
        <v>10</v>
      </c>
      <c r="F255" s="199" t="s">
        <v>3385</v>
      </c>
      <c r="G255" s="199" t="s">
        <v>3385</v>
      </c>
      <c r="H255" s="200">
        <v>1810</v>
      </c>
      <c r="I255" s="199" t="s">
        <v>38</v>
      </c>
      <c r="J255" s="199" t="s">
        <v>415</v>
      </c>
      <c r="K255" s="201">
        <v>45622</v>
      </c>
      <c r="L255" s="199" t="s">
        <v>3504</v>
      </c>
      <c r="M255" s="199" t="s">
        <v>3320</v>
      </c>
    </row>
    <row r="256" spans="1:13" ht="99.75">
      <c r="A256" s="199">
        <v>255</v>
      </c>
      <c r="B256" s="199" t="s">
        <v>3594</v>
      </c>
      <c r="C256" s="199" t="s">
        <v>25</v>
      </c>
      <c r="D256" s="199" t="s">
        <v>17</v>
      </c>
      <c r="E256" s="199">
        <v>50</v>
      </c>
      <c r="F256" s="199" t="s">
        <v>3385</v>
      </c>
      <c r="G256" s="199" t="s">
        <v>3385</v>
      </c>
      <c r="H256" s="200">
        <v>10472.5</v>
      </c>
      <c r="I256" s="199" t="s">
        <v>38</v>
      </c>
      <c r="J256" s="199" t="s">
        <v>415</v>
      </c>
      <c r="K256" s="201">
        <v>45622</v>
      </c>
      <c r="L256" s="199" t="s">
        <v>3504</v>
      </c>
      <c r="M256" s="199" t="s">
        <v>3320</v>
      </c>
    </row>
    <row r="257" spans="1:13" ht="99.75">
      <c r="A257" s="199">
        <v>256</v>
      </c>
      <c r="B257" s="199" t="s">
        <v>3595</v>
      </c>
      <c r="C257" s="199" t="s">
        <v>25</v>
      </c>
      <c r="D257" s="199" t="s">
        <v>17</v>
      </c>
      <c r="E257" s="199">
        <v>70</v>
      </c>
      <c r="F257" s="199" t="s">
        <v>3385</v>
      </c>
      <c r="G257" s="199" t="s">
        <v>3385</v>
      </c>
      <c r="H257" s="200">
        <v>14661.5</v>
      </c>
      <c r="I257" s="199" t="s">
        <v>38</v>
      </c>
      <c r="J257" s="199" t="s">
        <v>415</v>
      </c>
      <c r="K257" s="201">
        <v>45622</v>
      </c>
      <c r="L257" s="199" t="s">
        <v>3504</v>
      </c>
      <c r="M257" s="199" t="s">
        <v>3320</v>
      </c>
    </row>
    <row r="258" spans="1:13" ht="99.75">
      <c r="A258" s="199">
        <v>257</v>
      </c>
      <c r="B258" s="199" t="s">
        <v>3596</v>
      </c>
      <c r="C258" s="199" t="s">
        <v>25</v>
      </c>
      <c r="D258" s="199" t="s">
        <v>17</v>
      </c>
      <c r="E258" s="199">
        <v>300</v>
      </c>
      <c r="F258" s="199" t="s">
        <v>3385</v>
      </c>
      <c r="G258" s="199" t="s">
        <v>3385</v>
      </c>
      <c r="H258" s="200">
        <v>77328</v>
      </c>
      <c r="I258" s="199" t="s">
        <v>38</v>
      </c>
      <c r="J258" s="199" t="s">
        <v>415</v>
      </c>
      <c r="K258" s="201">
        <v>45622</v>
      </c>
      <c r="L258" s="199" t="s">
        <v>3504</v>
      </c>
      <c r="M258" s="199" t="s">
        <v>3320</v>
      </c>
    </row>
    <row r="259" spans="1:13" ht="99.75">
      <c r="A259" s="199">
        <v>258</v>
      </c>
      <c r="B259" s="199" t="s">
        <v>3597</v>
      </c>
      <c r="C259" s="199" t="s">
        <v>25</v>
      </c>
      <c r="D259" s="199" t="s">
        <v>17</v>
      </c>
      <c r="E259" s="199">
        <v>20</v>
      </c>
      <c r="F259" s="199" t="s">
        <v>3385</v>
      </c>
      <c r="G259" s="199" t="s">
        <v>3385</v>
      </c>
      <c r="H259" s="200">
        <v>5155.2</v>
      </c>
      <c r="I259" s="199" t="s">
        <v>38</v>
      </c>
      <c r="J259" s="199" t="s">
        <v>415</v>
      </c>
      <c r="K259" s="201">
        <v>45622</v>
      </c>
      <c r="L259" s="199" t="s">
        <v>3504</v>
      </c>
      <c r="M259" s="199" t="s">
        <v>3320</v>
      </c>
    </row>
    <row r="260" spans="1:13" ht="128.25">
      <c r="A260" s="199">
        <v>259</v>
      </c>
      <c r="B260" s="199" t="s">
        <v>3598</v>
      </c>
      <c r="C260" s="199" t="s">
        <v>25</v>
      </c>
      <c r="D260" s="199" t="s">
        <v>17</v>
      </c>
      <c r="E260" s="199">
        <v>40</v>
      </c>
      <c r="F260" s="199" t="s">
        <v>3385</v>
      </c>
      <c r="G260" s="199" t="s">
        <v>3385</v>
      </c>
      <c r="H260" s="200">
        <v>5746</v>
      </c>
      <c r="I260" s="199" t="s">
        <v>38</v>
      </c>
      <c r="J260" s="199" t="s">
        <v>415</v>
      </c>
      <c r="K260" s="201">
        <v>45622</v>
      </c>
      <c r="L260" s="199" t="s">
        <v>3504</v>
      </c>
      <c r="M260" s="199" t="s">
        <v>3320</v>
      </c>
    </row>
    <row r="261" spans="1:13" ht="128.25">
      <c r="A261" s="199">
        <v>260</v>
      </c>
      <c r="B261" s="199" t="s">
        <v>3599</v>
      </c>
      <c r="C261" s="199" t="s">
        <v>25</v>
      </c>
      <c r="D261" s="199" t="s">
        <v>17</v>
      </c>
      <c r="E261" s="199">
        <v>30</v>
      </c>
      <c r="F261" s="199" t="s">
        <v>3385</v>
      </c>
      <c r="G261" s="199" t="s">
        <v>3385</v>
      </c>
      <c r="H261" s="200">
        <v>4309.5</v>
      </c>
      <c r="I261" s="199" t="s">
        <v>38</v>
      </c>
      <c r="J261" s="199" t="s">
        <v>415</v>
      </c>
      <c r="K261" s="201">
        <v>45622</v>
      </c>
      <c r="L261" s="199" t="s">
        <v>3504</v>
      </c>
      <c r="M261" s="199" t="s">
        <v>3320</v>
      </c>
    </row>
    <row r="262" spans="1:13" ht="156.75">
      <c r="A262" s="199">
        <v>261</v>
      </c>
      <c r="B262" s="199" t="s">
        <v>3600</v>
      </c>
      <c r="C262" s="199" t="s">
        <v>25</v>
      </c>
      <c r="D262" s="199" t="s">
        <v>17</v>
      </c>
      <c r="E262" s="199">
        <v>50</v>
      </c>
      <c r="F262" s="199" t="s">
        <v>3385</v>
      </c>
      <c r="G262" s="199" t="s">
        <v>3385</v>
      </c>
      <c r="H262" s="200">
        <v>7182.5</v>
      </c>
      <c r="I262" s="199" t="s">
        <v>38</v>
      </c>
      <c r="J262" s="199" t="s">
        <v>415</v>
      </c>
      <c r="K262" s="201">
        <v>45622</v>
      </c>
      <c r="L262" s="199" t="s">
        <v>3504</v>
      </c>
      <c r="M262" s="199" t="s">
        <v>3320</v>
      </c>
    </row>
    <row r="263" spans="1:13" ht="99.75">
      <c r="A263" s="199">
        <v>262</v>
      </c>
      <c r="B263" s="199" t="s">
        <v>3601</v>
      </c>
      <c r="C263" s="199" t="s">
        <v>25</v>
      </c>
      <c r="D263" s="199" t="s">
        <v>17</v>
      </c>
      <c r="E263" s="199">
        <v>20</v>
      </c>
      <c r="F263" s="199" t="s">
        <v>3385</v>
      </c>
      <c r="G263" s="199" t="s">
        <v>3385</v>
      </c>
      <c r="H263" s="200">
        <v>2873</v>
      </c>
      <c r="I263" s="199" t="s">
        <v>38</v>
      </c>
      <c r="J263" s="199" t="s">
        <v>415</v>
      </c>
      <c r="K263" s="201">
        <v>45622</v>
      </c>
      <c r="L263" s="199" t="s">
        <v>3504</v>
      </c>
      <c r="M263" s="199" t="s">
        <v>3320</v>
      </c>
    </row>
    <row r="264" spans="1:13" ht="171">
      <c r="A264" s="199">
        <v>263</v>
      </c>
      <c r="B264" s="199" t="s">
        <v>3602</v>
      </c>
      <c r="C264" s="199" t="s">
        <v>25</v>
      </c>
      <c r="D264" s="199" t="s">
        <v>17</v>
      </c>
      <c r="E264" s="199">
        <v>120</v>
      </c>
      <c r="F264" s="199" t="s">
        <v>3385</v>
      </c>
      <c r="G264" s="199" t="s">
        <v>3385</v>
      </c>
      <c r="H264" s="200">
        <v>17238</v>
      </c>
      <c r="I264" s="199" t="s">
        <v>38</v>
      </c>
      <c r="J264" s="199" t="s">
        <v>415</v>
      </c>
      <c r="K264" s="201">
        <v>45622</v>
      </c>
      <c r="L264" s="199" t="s">
        <v>3504</v>
      </c>
      <c r="M264" s="199" t="s">
        <v>3320</v>
      </c>
    </row>
    <row r="265" spans="1:13" ht="156.75">
      <c r="A265" s="199">
        <v>264</v>
      </c>
      <c r="B265" s="199" t="s">
        <v>3603</v>
      </c>
      <c r="C265" s="199" t="s">
        <v>25</v>
      </c>
      <c r="D265" s="199" t="s">
        <v>17</v>
      </c>
      <c r="E265" s="199">
        <v>20</v>
      </c>
      <c r="F265" s="199" t="s">
        <v>3385</v>
      </c>
      <c r="G265" s="199" t="s">
        <v>3385</v>
      </c>
      <c r="H265" s="200">
        <v>2873</v>
      </c>
      <c r="I265" s="199" t="s">
        <v>38</v>
      </c>
      <c r="J265" s="199" t="s">
        <v>415</v>
      </c>
      <c r="K265" s="201">
        <v>45622</v>
      </c>
      <c r="L265" s="199" t="s">
        <v>3504</v>
      </c>
      <c r="M265" s="199" t="s">
        <v>3320</v>
      </c>
    </row>
    <row r="266" spans="1:13" ht="99.75">
      <c r="A266" s="199">
        <v>265</v>
      </c>
      <c r="B266" s="199" t="s">
        <v>3604</v>
      </c>
      <c r="C266" s="199" t="s">
        <v>25</v>
      </c>
      <c r="D266" s="199" t="s">
        <v>17</v>
      </c>
      <c r="E266" s="199">
        <v>50</v>
      </c>
      <c r="F266" s="199" t="s">
        <v>3385</v>
      </c>
      <c r="G266" s="199" t="s">
        <v>3385</v>
      </c>
      <c r="H266" s="200">
        <v>7182.5</v>
      </c>
      <c r="I266" s="199" t="s">
        <v>38</v>
      </c>
      <c r="J266" s="199" t="s">
        <v>415</v>
      </c>
      <c r="K266" s="201">
        <v>45622</v>
      </c>
      <c r="L266" s="199" t="s">
        <v>3504</v>
      </c>
      <c r="M266" s="199" t="s">
        <v>3320</v>
      </c>
    </row>
    <row r="267" spans="1:13" ht="128.25">
      <c r="A267" s="199">
        <v>266</v>
      </c>
      <c r="B267" s="199" t="s">
        <v>3605</v>
      </c>
      <c r="C267" s="199" t="s">
        <v>25</v>
      </c>
      <c r="D267" s="199" t="s">
        <v>17</v>
      </c>
      <c r="E267" s="199">
        <v>5</v>
      </c>
      <c r="F267" s="199" t="s">
        <v>3385</v>
      </c>
      <c r="G267" s="199" t="s">
        <v>3385</v>
      </c>
      <c r="H267" s="200">
        <v>905</v>
      </c>
      <c r="I267" s="199" t="s">
        <v>38</v>
      </c>
      <c r="J267" s="199" t="s">
        <v>415</v>
      </c>
      <c r="K267" s="201">
        <v>45622</v>
      </c>
      <c r="L267" s="199" t="s">
        <v>3504</v>
      </c>
      <c r="M267" s="199" t="s">
        <v>3320</v>
      </c>
    </row>
    <row r="268" spans="1:13" ht="71.25">
      <c r="A268" s="199">
        <v>267</v>
      </c>
      <c r="B268" s="199" t="s">
        <v>3606</v>
      </c>
      <c r="C268" s="199" t="s">
        <v>25</v>
      </c>
      <c r="D268" s="199" t="s">
        <v>17</v>
      </c>
      <c r="E268" s="199">
        <v>300</v>
      </c>
      <c r="F268" s="199" t="s">
        <v>3385</v>
      </c>
      <c r="G268" s="199" t="s">
        <v>3385</v>
      </c>
      <c r="H268" s="200">
        <v>54300</v>
      </c>
      <c r="I268" s="199" t="s">
        <v>38</v>
      </c>
      <c r="J268" s="199" t="s">
        <v>415</v>
      </c>
      <c r="K268" s="201">
        <v>45622</v>
      </c>
      <c r="L268" s="199" t="s">
        <v>3504</v>
      </c>
      <c r="M268" s="199" t="s">
        <v>3320</v>
      </c>
    </row>
    <row r="269" spans="1:13" ht="114">
      <c r="A269" s="199">
        <v>268</v>
      </c>
      <c r="B269" s="199" t="s">
        <v>3607</v>
      </c>
      <c r="C269" s="199" t="s">
        <v>25</v>
      </c>
      <c r="D269" s="199" t="s">
        <v>17</v>
      </c>
      <c r="E269" s="199">
        <v>10</v>
      </c>
      <c r="F269" s="199" t="s">
        <v>3385</v>
      </c>
      <c r="G269" s="199" t="s">
        <v>3385</v>
      </c>
      <c r="H269" s="200">
        <v>1436.5</v>
      </c>
      <c r="I269" s="199" t="s">
        <v>38</v>
      </c>
      <c r="J269" s="199" t="s">
        <v>415</v>
      </c>
      <c r="K269" s="201">
        <v>45622</v>
      </c>
      <c r="L269" s="199" t="s">
        <v>3504</v>
      </c>
      <c r="M269" s="199" t="s">
        <v>3320</v>
      </c>
    </row>
    <row r="270" spans="1:13" ht="71.25">
      <c r="A270" s="199">
        <v>269</v>
      </c>
      <c r="B270" s="199" t="s">
        <v>3608</v>
      </c>
      <c r="C270" s="199" t="s">
        <v>25</v>
      </c>
      <c r="D270" s="199" t="s">
        <v>17</v>
      </c>
      <c r="E270" s="199">
        <v>5</v>
      </c>
      <c r="F270" s="199" t="s">
        <v>3385</v>
      </c>
      <c r="G270" s="199" t="s">
        <v>3385</v>
      </c>
      <c r="H270" s="200">
        <v>718.25</v>
      </c>
      <c r="I270" s="199" t="s">
        <v>38</v>
      </c>
      <c r="J270" s="199" t="s">
        <v>415</v>
      </c>
      <c r="K270" s="201">
        <v>45622</v>
      </c>
      <c r="L270" s="199" t="s">
        <v>3504</v>
      </c>
      <c r="M270" s="199" t="s">
        <v>3320</v>
      </c>
    </row>
    <row r="271" spans="1:13" ht="85.5">
      <c r="A271" s="199">
        <v>270</v>
      </c>
      <c r="B271" s="199" t="s">
        <v>3609</v>
      </c>
      <c r="C271" s="199" t="s">
        <v>25</v>
      </c>
      <c r="D271" s="199" t="s">
        <v>17</v>
      </c>
      <c r="E271" s="199">
        <v>5</v>
      </c>
      <c r="F271" s="199" t="s">
        <v>3385</v>
      </c>
      <c r="G271" s="199" t="s">
        <v>3385</v>
      </c>
      <c r="H271" s="200">
        <v>718.25</v>
      </c>
      <c r="I271" s="199" t="s">
        <v>38</v>
      </c>
      <c r="J271" s="199" t="s">
        <v>415</v>
      </c>
      <c r="K271" s="201">
        <v>45622</v>
      </c>
      <c r="L271" s="199" t="s">
        <v>3504</v>
      </c>
      <c r="M271" s="199" t="s">
        <v>3320</v>
      </c>
    </row>
    <row r="272" spans="1:13" ht="71.25">
      <c r="A272" s="199">
        <v>271</v>
      </c>
      <c r="B272" s="199" t="s">
        <v>3610</v>
      </c>
      <c r="C272" s="199" t="s">
        <v>25</v>
      </c>
      <c r="D272" s="199" t="s">
        <v>17</v>
      </c>
      <c r="E272" s="199">
        <v>400</v>
      </c>
      <c r="F272" s="199" t="s">
        <v>3385</v>
      </c>
      <c r="G272" s="199" t="s">
        <v>3385</v>
      </c>
      <c r="H272" s="200">
        <v>72400</v>
      </c>
      <c r="I272" s="199" t="s">
        <v>38</v>
      </c>
      <c r="J272" s="199" t="s">
        <v>415</v>
      </c>
      <c r="K272" s="201">
        <v>45622</v>
      </c>
      <c r="L272" s="199" t="s">
        <v>3504</v>
      </c>
      <c r="M272" s="199" t="s">
        <v>3320</v>
      </c>
    </row>
    <row r="273" spans="1:13" ht="99.75">
      <c r="A273" s="199">
        <v>272</v>
      </c>
      <c r="B273" s="199" t="s">
        <v>3611</v>
      </c>
      <c r="C273" s="199" t="s">
        <v>25</v>
      </c>
      <c r="D273" s="199" t="s">
        <v>17</v>
      </c>
      <c r="E273" s="199">
        <v>15</v>
      </c>
      <c r="F273" s="199" t="s">
        <v>3385</v>
      </c>
      <c r="G273" s="199" t="s">
        <v>3385</v>
      </c>
      <c r="H273" s="200">
        <v>2154.75</v>
      </c>
      <c r="I273" s="199" t="s">
        <v>38</v>
      </c>
      <c r="J273" s="199" t="s">
        <v>415</v>
      </c>
      <c r="K273" s="201">
        <v>45622</v>
      </c>
      <c r="L273" s="199" t="s">
        <v>3504</v>
      </c>
      <c r="M273" s="199" t="s">
        <v>3320</v>
      </c>
    </row>
    <row r="274" spans="1:13" ht="85.5">
      <c r="A274" s="199">
        <v>273</v>
      </c>
      <c r="B274" s="199" t="s">
        <v>3612</v>
      </c>
      <c r="C274" s="199" t="s">
        <v>25</v>
      </c>
      <c r="D274" s="199" t="s">
        <v>17</v>
      </c>
      <c r="E274" s="199">
        <v>20</v>
      </c>
      <c r="F274" s="199" t="s">
        <v>3385</v>
      </c>
      <c r="G274" s="199" t="s">
        <v>3385</v>
      </c>
      <c r="H274" s="200">
        <v>3620</v>
      </c>
      <c r="I274" s="199" t="s">
        <v>38</v>
      </c>
      <c r="J274" s="199" t="s">
        <v>415</v>
      </c>
      <c r="K274" s="201">
        <v>45622</v>
      </c>
      <c r="L274" s="199" t="s">
        <v>3504</v>
      </c>
      <c r="M274" s="199" t="s">
        <v>3320</v>
      </c>
    </row>
    <row r="275" spans="1:13" ht="99.75">
      <c r="A275" s="199">
        <v>274</v>
      </c>
      <c r="B275" s="199" t="s">
        <v>3613</v>
      </c>
      <c r="C275" s="199" t="s">
        <v>25</v>
      </c>
      <c r="D275" s="199" t="s">
        <v>17</v>
      </c>
      <c r="E275" s="199">
        <v>5</v>
      </c>
      <c r="F275" s="199" t="s">
        <v>3385</v>
      </c>
      <c r="G275" s="199" t="s">
        <v>3385</v>
      </c>
      <c r="H275" s="200">
        <v>718.25</v>
      </c>
      <c r="I275" s="199" t="s">
        <v>38</v>
      </c>
      <c r="J275" s="199" t="s">
        <v>415</v>
      </c>
      <c r="K275" s="201">
        <v>45622</v>
      </c>
      <c r="L275" s="199" t="s">
        <v>3504</v>
      </c>
      <c r="M275" s="199" t="s">
        <v>3320</v>
      </c>
    </row>
    <row r="276" spans="1:13" ht="71.25">
      <c r="A276" s="199">
        <v>275</v>
      </c>
      <c r="B276" s="199" t="s">
        <v>3614</v>
      </c>
      <c r="C276" s="199" t="s">
        <v>25</v>
      </c>
      <c r="D276" s="199" t="s">
        <v>17</v>
      </c>
      <c r="E276" s="199">
        <v>600</v>
      </c>
      <c r="F276" s="199" t="s">
        <v>3385</v>
      </c>
      <c r="G276" s="199" t="s">
        <v>3385</v>
      </c>
      <c r="H276" s="200">
        <v>20000</v>
      </c>
      <c r="I276" s="199" t="s">
        <v>38</v>
      </c>
      <c r="J276" s="199" t="s">
        <v>415</v>
      </c>
      <c r="K276" s="199" t="s">
        <v>1721</v>
      </c>
      <c r="L276" s="199" t="s">
        <v>3500</v>
      </c>
      <c r="M276" s="199" t="s">
        <v>3320</v>
      </c>
    </row>
    <row r="277" spans="1:13" ht="85.5">
      <c r="A277" s="199">
        <v>276</v>
      </c>
      <c r="B277" s="199" t="s">
        <v>3615</v>
      </c>
      <c r="C277" s="199" t="s">
        <v>25</v>
      </c>
      <c r="D277" s="199" t="s">
        <v>35</v>
      </c>
      <c r="E277" s="199">
        <v>40</v>
      </c>
      <c r="F277" s="199" t="s">
        <v>3385</v>
      </c>
      <c r="G277" s="199" t="s">
        <v>3385</v>
      </c>
      <c r="H277" s="200">
        <v>7328.4</v>
      </c>
      <c r="I277" s="199" t="s">
        <v>20</v>
      </c>
      <c r="J277" s="199" t="s">
        <v>415</v>
      </c>
      <c r="K277" s="201">
        <v>45480</v>
      </c>
      <c r="L277" s="199" t="s">
        <v>3616</v>
      </c>
      <c r="M277" s="199" t="s">
        <v>3320</v>
      </c>
    </row>
    <row r="278" spans="1:13" ht="85.5">
      <c r="A278" s="199">
        <v>277</v>
      </c>
      <c r="B278" s="199" t="s">
        <v>3617</v>
      </c>
      <c r="C278" s="199" t="s">
        <v>25</v>
      </c>
      <c r="D278" s="199" t="s">
        <v>35</v>
      </c>
      <c r="E278" s="199">
        <v>30</v>
      </c>
      <c r="F278" s="199" t="s">
        <v>3385</v>
      </c>
      <c r="G278" s="199" t="s">
        <v>3385</v>
      </c>
      <c r="H278" s="200">
        <v>856.2</v>
      </c>
      <c r="I278" s="199" t="s">
        <v>20</v>
      </c>
      <c r="J278" s="199" t="s">
        <v>415</v>
      </c>
      <c r="K278" s="201">
        <v>45480</v>
      </c>
      <c r="L278" s="199" t="s">
        <v>3616</v>
      </c>
      <c r="M278" s="199" t="s">
        <v>3320</v>
      </c>
    </row>
    <row r="279" spans="1:13" ht="85.5">
      <c r="A279" s="199">
        <v>278</v>
      </c>
      <c r="B279" s="199" t="s">
        <v>3618</v>
      </c>
      <c r="C279" s="199" t="s">
        <v>25</v>
      </c>
      <c r="D279" s="199" t="s">
        <v>35</v>
      </c>
      <c r="E279" s="199">
        <v>40</v>
      </c>
      <c r="F279" s="199" t="s">
        <v>3385</v>
      </c>
      <c r="G279" s="199" t="s">
        <v>3385</v>
      </c>
      <c r="H279" s="200">
        <v>1965.6</v>
      </c>
      <c r="I279" s="199" t="s">
        <v>20</v>
      </c>
      <c r="J279" s="199" t="s">
        <v>415</v>
      </c>
      <c r="K279" s="201">
        <v>45480</v>
      </c>
      <c r="L279" s="199" t="s">
        <v>3616</v>
      </c>
      <c r="M279" s="199" t="s">
        <v>3320</v>
      </c>
    </row>
    <row r="280" spans="1:13" ht="85.5">
      <c r="A280" s="199">
        <v>279</v>
      </c>
      <c r="B280" s="199" t="s">
        <v>3619</v>
      </c>
      <c r="C280" s="199" t="s">
        <v>25</v>
      </c>
      <c r="D280" s="199" t="s">
        <v>35</v>
      </c>
      <c r="E280" s="199">
        <v>10</v>
      </c>
      <c r="F280" s="199" t="s">
        <v>3385</v>
      </c>
      <c r="G280" s="199" t="s">
        <v>3385</v>
      </c>
      <c r="H280" s="200">
        <v>394</v>
      </c>
      <c r="I280" s="199" t="s">
        <v>20</v>
      </c>
      <c r="J280" s="199" t="s">
        <v>415</v>
      </c>
      <c r="K280" s="201">
        <v>45480</v>
      </c>
      <c r="L280" s="199" t="s">
        <v>3616</v>
      </c>
      <c r="M280" s="199" t="s">
        <v>3320</v>
      </c>
    </row>
    <row r="281" spans="1:13" ht="85.5">
      <c r="A281" s="199">
        <v>280</v>
      </c>
      <c r="B281" s="199" t="s">
        <v>3620</v>
      </c>
      <c r="C281" s="199" t="s">
        <v>25</v>
      </c>
      <c r="D281" s="199" t="s">
        <v>35</v>
      </c>
      <c r="E281" s="199">
        <v>10</v>
      </c>
      <c r="F281" s="199" t="s">
        <v>3385</v>
      </c>
      <c r="G281" s="199" t="s">
        <v>3385</v>
      </c>
      <c r="H281" s="200">
        <v>213.4</v>
      </c>
      <c r="I281" s="199" t="s">
        <v>20</v>
      </c>
      <c r="J281" s="199" t="s">
        <v>415</v>
      </c>
      <c r="K281" s="201">
        <v>45480</v>
      </c>
      <c r="L281" s="199" t="s">
        <v>3616</v>
      </c>
      <c r="M281" s="199" t="s">
        <v>3320</v>
      </c>
    </row>
    <row r="282" spans="1:13" ht="85.5">
      <c r="A282" s="199">
        <v>281</v>
      </c>
      <c r="B282" s="199" t="s">
        <v>3621</v>
      </c>
      <c r="C282" s="199" t="s">
        <v>25</v>
      </c>
      <c r="D282" s="199" t="s">
        <v>35</v>
      </c>
      <c r="E282" s="199">
        <v>10</v>
      </c>
      <c r="F282" s="199" t="s">
        <v>3385</v>
      </c>
      <c r="G282" s="199" t="s">
        <v>3385</v>
      </c>
      <c r="H282" s="200">
        <v>107.3</v>
      </c>
      <c r="I282" s="199" t="s">
        <v>20</v>
      </c>
      <c r="J282" s="199" t="s">
        <v>415</v>
      </c>
      <c r="K282" s="201">
        <v>45480</v>
      </c>
      <c r="L282" s="199" t="s">
        <v>3616</v>
      </c>
      <c r="M282" s="199" t="s">
        <v>3320</v>
      </c>
    </row>
    <row r="283" spans="1:13" ht="85.5">
      <c r="A283" s="199">
        <v>282</v>
      </c>
      <c r="B283" s="199" t="s">
        <v>3622</v>
      </c>
      <c r="C283" s="199" t="s">
        <v>25</v>
      </c>
      <c r="D283" s="199" t="s">
        <v>35</v>
      </c>
      <c r="E283" s="199">
        <v>10</v>
      </c>
      <c r="F283" s="199" t="s">
        <v>3385</v>
      </c>
      <c r="G283" s="199" t="s">
        <v>3385</v>
      </c>
      <c r="H283" s="200">
        <v>103.2</v>
      </c>
      <c r="I283" s="199" t="s">
        <v>20</v>
      </c>
      <c r="J283" s="199" t="s">
        <v>415</v>
      </c>
      <c r="K283" s="201">
        <v>45480</v>
      </c>
      <c r="L283" s="199" t="s">
        <v>3616</v>
      </c>
      <c r="M283" s="199" t="s">
        <v>3320</v>
      </c>
    </row>
    <row r="284" spans="1:13" ht="85.5">
      <c r="A284" s="199">
        <v>283</v>
      </c>
      <c r="B284" s="199" t="s">
        <v>3623</v>
      </c>
      <c r="C284" s="199" t="s">
        <v>25</v>
      </c>
      <c r="D284" s="199" t="s">
        <v>35</v>
      </c>
      <c r="E284" s="199">
        <v>30</v>
      </c>
      <c r="F284" s="199" t="s">
        <v>3385</v>
      </c>
      <c r="G284" s="199" t="s">
        <v>3385</v>
      </c>
      <c r="H284" s="200">
        <v>309.60000000000002</v>
      </c>
      <c r="I284" s="199" t="s">
        <v>20</v>
      </c>
      <c r="J284" s="199" t="s">
        <v>415</v>
      </c>
      <c r="K284" s="201">
        <v>45480</v>
      </c>
      <c r="L284" s="199" t="s">
        <v>3616</v>
      </c>
      <c r="M284" s="199" t="s">
        <v>3320</v>
      </c>
    </row>
    <row r="285" spans="1:13" ht="85.5">
      <c r="A285" s="199">
        <v>284</v>
      </c>
      <c r="B285" s="199" t="s">
        <v>3624</v>
      </c>
      <c r="C285" s="199" t="s">
        <v>25</v>
      </c>
      <c r="D285" s="199" t="s">
        <v>35</v>
      </c>
      <c r="E285" s="199">
        <v>10</v>
      </c>
      <c r="F285" s="199" t="s">
        <v>3385</v>
      </c>
      <c r="G285" s="199" t="s">
        <v>3385</v>
      </c>
      <c r="H285" s="200">
        <v>132.9</v>
      </c>
      <c r="I285" s="199" t="s">
        <v>20</v>
      </c>
      <c r="J285" s="199" t="s">
        <v>415</v>
      </c>
      <c r="K285" s="201">
        <v>45480</v>
      </c>
      <c r="L285" s="199" t="s">
        <v>3616</v>
      </c>
      <c r="M285" s="199" t="s">
        <v>3320</v>
      </c>
    </row>
    <row r="286" spans="1:13" ht="85.5">
      <c r="A286" s="199">
        <v>285</v>
      </c>
      <c r="B286" s="199" t="s">
        <v>3625</v>
      </c>
      <c r="C286" s="199" t="s">
        <v>25</v>
      </c>
      <c r="D286" s="199" t="s">
        <v>35</v>
      </c>
      <c r="E286" s="199">
        <v>40</v>
      </c>
      <c r="F286" s="199" t="s">
        <v>3385</v>
      </c>
      <c r="G286" s="199" t="s">
        <v>3385</v>
      </c>
      <c r="H286" s="200">
        <v>19389.599999999999</v>
      </c>
      <c r="I286" s="199" t="s">
        <v>20</v>
      </c>
      <c r="J286" s="199" t="s">
        <v>415</v>
      </c>
      <c r="K286" s="201">
        <v>45480</v>
      </c>
      <c r="L286" s="199" t="s">
        <v>3616</v>
      </c>
      <c r="M286" s="199" t="s">
        <v>3320</v>
      </c>
    </row>
    <row r="287" spans="1:13" ht="85.5">
      <c r="A287" s="199">
        <v>286</v>
      </c>
      <c r="B287" s="199" t="s">
        <v>3626</v>
      </c>
      <c r="C287" s="199" t="s">
        <v>25</v>
      </c>
      <c r="D287" s="199" t="s">
        <v>35</v>
      </c>
      <c r="E287" s="199">
        <v>30</v>
      </c>
      <c r="F287" s="199" t="s">
        <v>3385</v>
      </c>
      <c r="G287" s="199" t="s">
        <v>3385</v>
      </c>
      <c r="H287" s="200">
        <v>21684.3</v>
      </c>
      <c r="I287" s="199" t="s">
        <v>20</v>
      </c>
      <c r="J287" s="199" t="s">
        <v>415</v>
      </c>
      <c r="K287" s="201">
        <v>45480</v>
      </c>
      <c r="L287" s="199" t="s">
        <v>3616</v>
      </c>
      <c r="M287" s="199" t="s">
        <v>3320</v>
      </c>
    </row>
    <row r="288" spans="1:13" ht="85.5">
      <c r="A288" s="199">
        <v>287</v>
      </c>
      <c r="B288" s="199" t="s">
        <v>3627</v>
      </c>
      <c r="C288" s="199" t="s">
        <v>25</v>
      </c>
      <c r="D288" s="199" t="s">
        <v>35</v>
      </c>
      <c r="E288" s="199">
        <v>20</v>
      </c>
      <c r="F288" s="199" t="s">
        <v>3385</v>
      </c>
      <c r="G288" s="199" t="s">
        <v>3385</v>
      </c>
      <c r="H288" s="200">
        <v>897</v>
      </c>
      <c r="I288" s="199" t="s">
        <v>20</v>
      </c>
      <c r="J288" s="199" t="s">
        <v>415</v>
      </c>
      <c r="K288" s="201">
        <v>45480</v>
      </c>
      <c r="L288" s="199" t="s">
        <v>3616</v>
      </c>
      <c r="M288" s="199" t="s">
        <v>3320</v>
      </c>
    </row>
    <row r="289" spans="1:13" ht="85.5">
      <c r="A289" s="199">
        <v>288</v>
      </c>
      <c r="B289" s="199" t="s">
        <v>3628</v>
      </c>
      <c r="C289" s="199" t="s">
        <v>25</v>
      </c>
      <c r="D289" s="199" t="s">
        <v>35</v>
      </c>
      <c r="E289" s="199">
        <v>10</v>
      </c>
      <c r="F289" s="199" t="s">
        <v>3385</v>
      </c>
      <c r="G289" s="199" t="s">
        <v>3385</v>
      </c>
      <c r="H289" s="200">
        <v>349.4</v>
      </c>
      <c r="I289" s="199" t="s">
        <v>20</v>
      </c>
      <c r="J289" s="199" t="s">
        <v>415</v>
      </c>
      <c r="K289" s="201">
        <v>45480</v>
      </c>
      <c r="L289" s="199" t="s">
        <v>3616</v>
      </c>
      <c r="M289" s="199" t="s">
        <v>3320</v>
      </c>
    </row>
    <row r="290" spans="1:13" ht="85.5">
      <c r="A290" s="199">
        <v>289</v>
      </c>
      <c r="B290" s="199" t="s">
        <v>3629</v>
      </c>
      <c r="C290" s="199" t="s">
        <v>25</v>
      </c>
      <c r="D290" s="199" t="s">
        <v>35</v>
      </c>
      <c r="E290" s="199">
        <v>10</v>
      </c>
      <c r="F290" s="199" t="s">
        <v>3385</v>
      </c>
      <c r="G290" s="199" t="s">
        <v>3385</v>
      </c>
      <c r="H290" s="200">
        <v>289.60000000000002</v>
      </c>
      <c r="I290" s="199" t="s">
        <v>20</v>
      </c>
      <c r="J290" s="199" t="s">
        <v>415</v>
      </c>
      <c r="K290" s="201">
        <v>45480</v>
      </c>
      <c r="L290" s="199" t="s">
        <v>3616</v>
      </c>
      <c r="M290" s="199" t="s">
        <v>3320</v>
      </c>
    </row>
    <row r="291" spans="1:13" ht="85.5">
      <c r="A291" s="199">
        <v>290</v>
      </c>
      <c r="B291" s="199" t="s">
        <v>3630</v>
      </c>
      <c r="C291" s="199" t="s">
        <v>25</v>
      </c>
      <c r="D291" s="199" t="s">
        <v>35</v>
      </c>
      <c r="E291" s="199">
        <v>40</v>
      </c>
      <c r="F291" s="199" t="s">
        <v>3385</v>
      </c>
      <c r="G291" s="199" t="s">
        <v>3385</v>
      </c>
      <c r="H291" s="200">
        <v>730</v>
      </c>
      <c r="I291" s="199" t="s">
        <v>20</v>
      </c>
      <c r="J291" s="199" t="s">
        <v>415</v>
      </c>
      <c r="K291" s="201">
        <v>45480</v>
      </c>
      <c r="L291" s="199" t="s">
        <v>3616</v>
      </c>
      <c r="M291" s="199" t="s">
        <v>3320</v>
      </c>
    </row>
    <row r="292" spans="1:13" ht="85.5">
      <c r="A292" s="199">
        <v>291</v>
      </c>
      <c r="B292" s="199" t="s">
        <v>3631</v>
      </c>
      <c r="C292" s="199" t="s">
        <v>25</v>
      </c>
      <c r="D292" s="199" t="s">
        <v>35</v>
      </c>
      <c r="E292" s="199">
        <v>40</v>
      </c>
      <c r="F292" s="199" t="s">
        <v>3385</v>
      </c>
      <c r="G292" s="199" t="s">
        <v>3385</v>
      </c>
      <c r="H292" s="200">
        <v>916.8</v>
      </c>
      <c r="I292" s="199" t="s">
        <v>20</v>
      </c>
      <c r="J292" s="199" t="s">
        <v>415</v>
      </c>
      <c r="K292" s="201">
        <v>45480</v>
      </c>
      <c r="L292" s="199" t="s">
        <v>3616</v>
      </c>
      <c r="M292" s="199" t="s">
        <v>3320</v>
      </c>
    </row>
    <row r="293" spans="1:13" ht="85.5">
      <c r="A293" s="199">
        <v>292</v>
      </c>
      <c r="B293" s="199" t="s">
        <v>3632</v>
      </c>
      <c r="C293" s="199" t="s">
        <v>25</v>
      </c>
      <c r="D293" s="199" t="s">
        <v>35</v>
      </c>
      <c r="E293" s="199">
        <v>40</v>
      </c>
      <c r="F293" s="199" t="s">
        <v>3385</v>
      </c>
      <c r="G293" s="199" t="s">
        <v>3385</v>
      </c>
      <c r="H293" s="200">
        <v>730</v>
      </c>
      <c r="I293" s="199" t="s">
        <v>20</v>
      </c>
      <c r="J293" s="199" t="s">
        <v>415</v>
      </c>
      <c r="K293" s="201">
        <v>45480</v>
      </c>
      <c r="L293" s="199" t="s">
        <v>3616</v>
      </c>
      <c r="M293" s="199" t="s">
        <v>3320</v>
      </c>
    </row>
    <row r="294" spans="1:13" ht="85.5">
      <c r="A294" s="199">
        <v>293</v>
      </c>
      <c r="B294" s="199" t="s">
        <v>3633</v>
      </c>
      <c r="C294" s="199" t="s">
        <v>25</v>
      </c>
      <c r="D294" s="199" t="s">
        <v>35</v>
      </c>
      <c r="E294" s="199">
        <v>25</v>
      </c>
      <c r="F294" s="199" t="s">
        <v>3385</v>
      </c>
      <c r="G294" s="199" t="s">
        <v>3385</v>
      </c>
      <c r="H294" s="200">
        <v>2236.25</v>
      </c>
      <c r="I294" s="199" t="s">
        <v>20</v>
      </c>
      <c r="J294" s="199" t="s">
        <v>415</v>
      </c>
      <c r="K294" s="201">
        <v>45480</v>
      </c>
      <c r="L294" s="199" t="s">
        <v>3616</v>
      </c>
      <c r="M294" s="199" t="s">
        <v>3320</v>
      </c>
    </row>
    <row r="295" spans="1:13" ht="85.5">
      <c r="A295" s="199">
        <v>294</v>
      </c>
      <c r="B295" s="199" t="s">
        <v>3634</v>
      </c>
      <c r="C295" s="199" t="s">
        <v>25</v>
      </c>
      <c r="D295" s="199" t="s">
        <v>35</v>
      </c>
      <c r="E295" s="199">
        <v>25</v>
      </c>
      <c r="F295" s="199" t="s">
        <v>3385</v>
      </c>
      <c r="G295" s="199" t="s">
        <v>3385</v>
      </c>
      <c r="H295" s="200">
        <v>2701.5</v>
      </c>
      <c r="I295" s="199" t="s">
        <v>20</v>
      </c>
      <c r="J295" s="199" t="s">
        <v>415</v>
      </c>
      <c r="K295" s="201">
        <v>45480</v>
      </c>
      <c r="L295" s="199" t="s">
        <v>3616</v>
      </c>
      <c r="M295" s="199" t="s">
        <v>3320</v>
      </c>
    </row>
    <row r="296" spans="1:13" ht="85.5">
      <c r="A296" s="199">
        <v>295</v>
      </c>
      <c r="B296" s="199" t="s">
        <v>3635</v>
      </c>
      <c r="C296" s="199" t="s">
        <v>25</v>
      </c>
      <c r="D296" s="199" t="s">
        <v>35</v>
      </c>
      <c r="E296" s="199">
        <v>30</v>
      </c>
      <c r="F296" s="199" t="s">
        <v>3385</v>
      </c>
      <c r="G296" s="199" t="s">
        <v>3385</v>
      </c>
      <c r="H296" s="200">
        <v>15938.7</v>
      </c>
      <c r="I296" s="199" t="s">
        <v>20</v>
      </c>
      <c r="J296" s="199" t="s">
        <v>415</v>
      </c>
      <c r="K296" s="201">
        <v>45480</v>
      </c>
      <c r="L296" s="199" t="s">
        <v>3616</v>
      </c>
      <c r="M296" s="199" t="s">
        <v>3320</v>
      </c>
    </row>
    <row r="297" spans="1:13" ht="85.5">
      <c r="A297" s="199">
        <v>296</v>
      </c>
      <c r="B297" s="199" t="s">
        <v>3636</v>
      </c>
      <c r="C297" s="199" t="s">
        <v>25</v>
      </c>
      <c r="D297" s="199" t="s">
        <v>35</v>
      </c>
      <c r="E297" s="199">
        <v>40</v>
      </c>
      <c r="F297" s="199" t="s">
        <v>3385</v>
      </c>
      <c r="G297" s="199" t="s">
        <v>3385</v>
      </c>
      <c r="H297" s="200">
        <v>5298</v>
      </c>
      <c r="I297" s="199" t="s">
        <v>20</v>
      </c>
      <c r="J297" s="199" t="s">
        <v>415</v>
      </c>
      <c r="K297" s="201">
        <v>45480</v>
      </c>
      <c r="L297" s="199" t="s">
        <v>3616</v>
      </c>
      <c r="M297" s="199" t="s">
        <v>3320</v>
      </c>
    </row>
    <row r="298" spans="1:13" ht="85.5">
      <c r="A298" s="199">
        <v>297</v>
      </c>
      <c r="B298" s="199" t="s">
        <v>3637</v>
      </c>
      <c r="C298" s="199" t="s">
        <v>25</v>
      </c>
      <c r="D298" s="199" t="s">
        <v>35</v>
      </c>
      <c r="E298" s="199">
        <v>20</v>
      </c>
      <c r="F298" s="199" t="s">
        <v>3385</v>
      </c>
      <c r="G298" s="199" t="s">
        <v>3385</v>
      </c>
      <c r="H298" s="200">
        <v>263.60000000000002</v>
      </c>
      <c r="I298" s="199" t="s">
        <v>20</v>
      </c>
      <c r="J298" s="199" t="s">
        <v>415</v>
      </c>
      <c r="K298" s="201">
        <v>45480</v>
      </c>
      <c r="L298" s="199" t="s">
        <v>3616</v>
      </c>
      <c r="M298" s="199" t="s">
        <v>3320</v>
      </c>
    </row>
    <row r="299" spans="1:13" ht="85.5">
      <c r="A299" s="199">
        <v>298</v>
      </c>
      <c r="B299" s="199" t="s">
        <v>3638</v>
      </c>
      <c r="C299" s="199" t="s">
        <v>25</v>
      </c>
      <c r="D299" s="199" t="s">
        <v>35</v>
      </c>
      <c r="E299" s="199">
        <v>30</v>
      </c>
      <c r="F299" s="199" t="s">
        <v>3385</v>
      </c>
      <c r="G299" s="199" t="s">
        <v>3385</v>
      </c>
      <c r="H299" s="200">
        <v>3232.8</v>
      </c>
      <c r="I299" s="199" t="s">
        <v>20</v>
      </c>
      <c r="J299" s="199" t="s">
        <v>415</v>
      </c>
      <c r="K299" s="201">
        <v>45480</v>
      </c>
      <c r="L299" s="199" t="s">
        <v>3616</v>
      </c>
      <c r="M299" s="199" t="s">
        <v>3320</v>
      </c>
    </row>
    <row r="300" spans="1:13" ht="85.5">
      <c r="A300" s="199">
        <v>299</v>
      </c>
      <c r="B300" s="199" t="s">
        <v>3639</v>
      </c>
      <c r="C300" s="199" t="s">
        <v>25</v>
      </c>
      <c r="D300" s="199" t="s">
        <v>35</v>
      </c>
      <c r="E300" s="199">
        <v>40</v>
      </c>
      <c r="F300" s="199" t="s">
        <v>3385</v>
      </c>
      <c r="G300" s="199" t="s">
        <v>3385</v>
      </c>
      <c r="H300" s="200">
        <v>586</v>
      </c>
      <c r="I300" s="199" t="s">
        <v>20</v>
      </c>
      <c r="J300" s="199" t="s">
        <v>415</v>
      </c>
      <c r="K300" s="201">
        <v>45480</v>
      </c>
      <c r="L300" s="199" t="s">
        <v>3616</v>
      </c>
      <c r="M300" s="199" t="s">
        <v>3320</v>
      </c>
    </row>
    <row r="301" spans="1:13" ht="85.5">
      <c r="A301" s="199">
        <v>300</v>
      </c>
      <c r="B301" s="199" t="s">
        <v>3640</v>
      </c>
      <c r="C301" s="199" t="s">
        <v>25</v>
      </c>
      <c r="D301" s="199" t="s">
        <v>35</v>
      </c>
      <c r="E301" s="199">
        <v>10</v>
      </c>
      <c r="F301" s="199" t="s">
        <v>3385</v>
      </c>
      <c r="G301" s="199" t="s">
        <v>3385</v>
      </c>
      <c r="H301" s="200">
        <v>644.20000000000005</v>
      </c>
      <c r="I301" s="199" t="s">
        <v>20</v>
      </c>
      <c r="J301" s="199" t="s">
        <v>415</v>
      </c>
      <c r="K301" s="201">
        <v>45480</v>
      </c>
      <c r="L301" s="199" t="s">
        <v>3616</v>
      </c>
      <c r="M301" s="199" t="s">
        <v>3320</v>
      </c>
    </row>
    <row r="302" spans="1:13" ht="85.5">
      <c r="A302" s="199">
        <v>301</v>
      </c>
      <c r="B302" s="199" t="s">
        <v>3641</v>
      </c>
      <c r="C302" s="199" t="s">
        <v>25</v>
      </c>
      <c r="D302" s="199" t="s">
        <v>35</v>
      </c>
      <c r="E302" s="199">
        <v>20</v>
      </c>
      <c r="F302" s="199" t="s">
        <v>3385</v>
      </c>
      <c r="G302" s="199" t="s">
        <v>3385</v>
      </c>
      <c r="H302" s="200">
        <v>470.8</v>
      </c>
      <c r="I302" s="199" t="s">
        <v>20</v>
      </c>
      <c r="J302" s="199" t="s">
        <v>415</v>
      </c>
      <c r="K302" s="201">
        <v>45480</v>
      </c>
      <c r="L302" s="199" t="s">
        <v>3616</v>
      </c>
      <c r="M302" s="199" t="s">
        <v>3320</v>
      </c>
    </row>
    <row r="303" spans="1:13" ht="85.5">
      <c r="A303" s="199">
        <v>302</v>
      </c>
      <c r="B303" s="199" t="s">
        <v>3642</v>
      </c>
      <c r="C303" s="199" t="s">
        <v>25</v>
      </c>
      <c r="D303" s="199" t="s">
        <v>35</v>
      </c>
      <c r="E303" s="199">
        <v>20</v>
      </c>
      <c r="F303" s="199" t="s">
        <v>3385</v>
      </c>
      <c r="G303" s="199" t="s">
        <v>3385</v>
      </c>
      <c r="H303" s="200">
        <v>470.8</v>
      </c>
      <c r="I303" s="199" t="s">
        <v>20</v>
      </c>
      <c r="J303" s="199" t="s">
        <v>415</v>
      </c>
      <c r="K303" s="201">
        <v>45480</v>
      </c>
      <c r="L303" s="199" t="s">
        <v>3616</v>
      </c>
      <c r="M303" s="199" t="s">
        <v>3320</v>
      </c>
    </row>
    <row r="304" spans="1:13" ht="85.5">
      <c r="A304" s="199">
        <v>303</v>
      </c>
      <c r="B304" s="199" t="s">
        <v>3643</v>
      </c>
      <c r="C304" s="199" t="s">
        <v>25</v>
      </c>
      <c r="D304" s="199" t="s">
        <v>35</v>
      </c>
      <c r="E304" s="199">
        <v>20</v>
      </c>
      <c r="F304" s="199" t="s">
        <v>3385</v>
      </c>
      <c r="G304" s="199" t="s">
        <v>3385</v>
      </c>
      <c r="H304" s="200">
        <v>510.8</v>
      </c>
      <c r="I304" s="199" t="s">
        <v>20</v>
      </c>
      <c r="J304" s="199" t="s">
        <v>415</v>
      </c>
      <c r="K304" s="201">
        <v>45480</v>
      </c>
      <c r="L304" s="199" t="s">
        <v>3616</v>
      </c>
      <c r="M304" s="199" t="s">
        <v>3320</v>
      </c>
    </row>
    <row r="305" spans="1:13" ht="85.5">
      <c r="A305" s="199">
        <v>304</v>
      </c>
      <c r="B305" s="199" t="s">
        <v>3644</v>
      </c>
      <c r="C305" s="199" t="s">
        <v>25</v>
      </c>
      <c r="D305" s="199" t="s">
        <v>35</v>
      </c>
      <c r="E305" s="199">
        <v>30</v>
      </c>
      <c r="F305" s="199" t="s">
        <v>3385</v>
      </c>
      <c r="G305" s="199" t="s">
        <v>3385</v>
      </c>
      <c r="H305" s="200">
        <v>1470.9</v>
      </c>
      <c r="I305" s="199" t="s">
        <v>20</v>
      </c>
      <c r="J305" s="199" t="s">
        <v>415</v>
      </c>
      <c r="K305" s="201">
        <v>45480</v>
      </c>
      <c r="L305" s="199" t="s">
        <v>3616</v>
      </c>
      <c r="M305" s="199" t="s">
        <v>3320</v>
      </c>
    </row>
    <row r="306" spans="1:13" ht="85.5">
      <c r="A306" s="199">
        <v>305</v>
      </c>
      <c r="B306" s="199" t="s">
        <v>3645</v>
      </c>
      <c r="C306" s="199" t="s">
        <v>25</v>
      </c>
      <c r="D306" s="199" t="s">
        <v>35</v>
      </c>
      <c r="E306" s="199">
        <v>20</v>
      </c>
      <c r="F306" s="199" t="s">
        <v>3385</v>
      </c>
      <c r="G306" s="199" t="s">
        <v>3385</v>
      </c>
      <c r="H306" s="200">
        <v>302</v>
      </c>
      <c r="I306" s="199" t="s">
        <v>20</v>
      </c>
      <c r="J306" s="199" t="s">
        <v>415</v>
      </c>
      <c r="K306" s="201">
        <v>45480</v>
      </c>
      <c r="L306" s="199" t="s">
        <v>3616</v>
      </c>
      <c r="M306" s="199" t="s">
        <v>3320</v>
      </c>
    </row>
    <row r="307" spans="1:13" ht="85.5">
      <c r="A307" s="199">
        <v>306</v>
      </c>
      <c r="B307" s="199" t="s">
        <v>3646</v>
      </c>
      <c r="C307" s="199" t="s">
        <v>25</v>
      </c>
      <c r="D307" s="199" t="s">
        <v>35</v>
      </c>
      <c r="E307" s="199">
        <v>20</v>
      </c>
      <c r="F307" s="199" t="s">
        <v>3385</v>
      </c>
      <c r="G307" s="199" t="s">
        <v>3385</v>
      </c>
      <c r="H307" s="200">
        <v>643.4</v>
      </c>
      <c r="I307" s="199" t="s">
        <v>20</v>
      </c>
      <c r="J307" s="199" t="s">
        <v>415</v>
      </c>
      <c r="K307" s="201">
        <v>45480</v>
      </c>
      <c r="L307" s="199" t="s">
        <v>3616</v>
      </c>
      <c r="M307" s="199" t="s">
        <v>3320</v>
      </c>
    </row>
    <row r="308" spans="1:13" ht="85.5">
      <c r="A308" s="199">
        <v>307</v>
      </c>
      <c r="B308" s="199" t="s">
        <v>3647</v>
      </c>
      <c r="C308" s="199" t="s">
        <v>25</v>
      </c>
      <c r="D308" s="199" t="s">
        <v>35</v>
      </c>
      <c r="E308" s="199">
        <v>20</v>
      </c>
      <c r="F308" s="199" t="s">
        <v>3385</v>
      </c>
      <c r="G308" s="199" t="s">
        <v>3385</v>
      </c>
      <c r="H308" s="200">
        <v>1602.4</v>
      </c>
      <c r="I308" s="199" t="s">
        <v>20</v>
      </c>
      <c r="J308" s="199" t="s">
        <v>415</v>
      </c>
      <c r="K308" s="201">
        <v>45480</v>
      </c>
      <c r="L308" s="199" t="s">
        <v>3616</v>
      </c>
      <c r="M308" s="199" t="s">
        <v>3320</v>
      </c>
    </row>
    <row r="309" spans="1:13" ht="85.5">
      <c r="A309" s="199">
        <v>308</v>
      </c>
      <c r="B309" s="199" t="s">
        <v>3648</v>
      </c>
      <c r="C309" s="199" t="s">
        <v>25</v>
      </c>
      <c r="D309" s="199" t="s">
        <v>35</v>
      </c>
      <c r="E309" s="199">
        <v>20</v>
      </c>
      <c r="F309" s="199" t="s">
        <v>3385</v>
      </c>
      <c r="G309" s="199" t="s">
        <v>3385</v>
      </c>
      <c r="H309" s="200">
        <v>585.79999999999995</v>
      </c>
      <c r="I309" s="199" t="s">
        <v>20</v>
      </c>
      <c r="J309" s="199" t="s">
        <v>415</v>
      </c>
      <c r="K309" s="201">
        <v>45480</v>
      </c>
      <c r="L309" s="199" t="s">
        <v>3616</v>
      </c>
      <c r="M309" s="199" t="s">
        <v>3320</v>
      </c>
    </row>
    <row r="310" spans="1:13" ht="85.5">
      <c r="A310" s="199">
        <v>309</v>
      </c>
      <c r="B310" s="199" t="s">
        <v>3649</v>
      </c>
      <c r="C310" s="199" t="s">
        <v>25</v>
      </c>
      <c r="D310" s="199" t="s">
        <v>35</v>
      </c>
      <c r="E310" s="199">
        <v>20</v>
      </c>
      <c r="F310" s="199" t="s">
        <v>3385</v>
      </c>
      <c r="G310" s="199" t="s">
        <v>3385</v>
      </c>
      <c r="H310" s="200">
        <v>677.4</v>
      </c>
      <c r="I310" s="199" t="s">
        <v>20</v>
      </c>
      <c r="J310" s="199" t="s">
        <v>415</v>
      </c>
      <c r="K310" s="201">
        <v>45480</v>
      </c>
      <c r="L310" s="199" t="s">
        <v>3616</v>
      </c>
      <c r="M310" s="199" t="s">
        <v>3320</v>
      </c>
    </row>
    <row r="311" spans="1:13" ht="85.5">
      <c r="A311" s="199">
        <v>310</v>
      </c>
      <c r="B311" s="199" t="s">
        <v>3650</v>
      </c>
      <c r="C311" s="199" t="s">
        <v>25</v>
      </c>
      <c r="D311" s="199" t="s">
        <v>35</v>
      </c>
      <c r="E311" s="199">
        <v>20</v>
      </c>
      <c r="F311" s="199" t="s">
        <v>3385</v>
      </c>
      <c r="G311" s="199" t="s">
        <v>3385</v>
      </c>
      <c r="H311" s="200">
        <v>1970</v>
      </c>
      <c r="I311" s="199" t="s">
        <v>20</v>
      </c>
      <c r="J311" s="199" t="s">
        <v>415</v>
      </c>
      <c r="K311" s="201">
        <v>45480</v>
      </c>
      <c r="L311" s="199" t="s">
        <v>3616</v>
      </c>
      <c r="M311" s="199" t="s">
        <v>3320</v>
      </c>
    </row>
    <row r="312" spans="1:13" ht="85.5">
      <c r="A312" s="199">
        <v>311</v>
      </c>
      <c r="B312" s="199" t="s">
        <v>3651</v>
      </c>
      <c r="C312" s="199" t="s">
        <v>25</v>
      </c>
      <c r="D312" s="199" t="s">
        <v>35</v>
      </c>
      <c r="E312" s="199">
        <v>20</v>
      </c>
      <c r="F312" s="199" t="s">
        <v>3385</v>
      </c>
      <c r="G312" s="199" t="s">
        <v>3385</v>
      </c>
      <c r="H312" s="200">
        <v>790.4</v>
      </c>
      <c r="I312" s="199" t="s">
        <v>20</v>
      </c>
      <c r="J312" s="199" t="s">
        <v>415</v>
      </c>
      <c r="K312" s="201">
        <v>45480</v>
      </c>
      <c r="L312" s="199" t="s">
        <v>3616</v>
      </c>
      <c r="M312" s="199" t="s">
        <v>3320</v>
      </c>
    </row>
    <row r="313" spans="1:13" ht="85.5">
      <c r="A313" s="199">
        <v>312</v>
      </c>
      <c r="B313" s="199" t="s">
        <v>3652</v>
      </c>
      <c r="C313" s="199" t="s">
        <v>25</v>
      </c>
      <c r="D313" s="199" t="s">
        <v>35</v>
      </c>
      <c r="E313" s="199">
        <v>20</v>
      </c>
      <c r="F313" s="199" t="s">
        <v>3385</v>
      </c>
      <c r="G313" s="199" t="s">
        <v>3385</v>
      </c>
      <c r="H313" s="200">
        <v>713.2</v>
      </c>
      <c r="I313" s="199" t="s">
        <v>20</v>
      </c>
      <c r="J313" s="199" t="s">
        <v>415</v>
      </c>
      <c r="K313" s="201">
        <v>45480</v>
      </c>
      <c r="L313" s="199" t="s">
        <v>3616</v>
      </c>
      <c r="M313" s="199" t="s">
        <v>3320</v>
      </c>
    </row>
    <row r="314" spans="1:13" ht="85.5">
      <c r="A314" s="199">
        <v>313</v>
      </c>
      <c r="B314" s="199" t="s">
        <v>3653</v>
      </c>
      <c r="C314" s="199" t="s">
        <v>25</v>
      </c>
      <c r="D314" s="199" t="s">
        <v>35</v>
      </c>
      <c r="E314" s="199">
        <v>20</v>
      </c>
      <c r="F314" s="199" t="s">
        <v>3385</v>
      </c>
      <c r="G314" s="199" t="s">
        <v>3385</v>
      </c>
      <c r="H314" s="200">
        <v>837.8</v>
      </c>
      <c r="I314" s="199" t="s">
        <v>20</v>
      </c>
      <c r="J314" s="199" t="s">
        <v>415</v>
      </c>
      <c r="K314" s="201">
        <v>45480</v>
      </c>
      <c r="L314" s="199" t="s">
        <v>3616</v>
      </c>
      <c r="M314" s="199" t="s">
        <v>3320</v>
      </c>
    </row>
    <row r="315" spans="1:13" ht="85.5">
      <c r="A315" s="199">
        <v>314</v>
      </c>
      <c r="B315" s="199" t="s">
        <v>3654</v>
      </c>
      <c r="C315" s="199" t="s">
        <v>25</v>
      </c>
      <c r="D315" s="199" t="s">
        <v>35</v>
      </c>
      <c r="E315" s="199">
        <v>10</v>
      </c>
      <c r="F315" s="199" t="s">
        <v>3385</v>
      </c>
      <c r="G315" s="199" t="s">
        <v>3385</v>
      </c>
      <c r="H315" s="200">
        <v>2455.5</v>
      </c>
      <c r="I315" s="199" t="s">
        <v>20</v>
      </c>
      <c r="J315" s="199" t="s">
        <v>415</v>
      </c>
      <c r="K315" s="201">
        <v>45480</v>
      </c>
      <c r="L315" s="199" t="s">
        <v>3616</v>
      </c>
      <c r="M315" s="199" t="s">
        <v>3320</v>
      </c>
    </row>
    <row r="316" spans="1:13" ht="85.5">
      <c r="A316" s="199">
        <v>315</v>
      </c>
      <c r="B316" s="199" t="s">
        <v>3655</v>
      </c>
      <c r="C316" s="199" t="s">
        <v>25</v>
      </c>
      <c r="D316" s="199" t="s">
        <v>35</v>
      </c>
      <c r="E316" s="199">
        <v>30</v>
      </c>
      <c r="F316" s="199" t="s">
        <v>3385</v>
      </c>
      <c r="G316" s="199" t="s">
        <v>3385</v>
      </c>
      <c r="H316" s="200">
        <v>1073.4000000000001</v>
      </c>
      <c r="I316" s="199" t="s">
        <v>20</v>
      </c>
      <c r="J316" s="199" t="s">
        <v>415</v>
      </c>
      <c r="K316" s="201">
        <v>45480</v>
      </c>
      <c r="L316" s="199" t="s">
        <v>3616</v>
      </c>
      <c r="M316" s="199" t="s">
        <v>3320</v>
      </c>
    </row>
    <row r="317" spans="1:13" ht="85.5">
      <c r="A317" s="199">
        <v>316</v>
      </c>
      <c r="B317" s="199" t="s">
        <v>3656</v>
      </c>
      <c r="C317" s="199" t="s">
        <v>25</v>
      </c>
      <c r="D317" s="199" t="s">
        <v>35</v>
      </c>
      <c r="E317" s="199">
        <v>10</v>
      </c>
      <c r="F317" s="199" t="s">
        <v>3385</v>
      </c>
      <c r="G317" s="199" t="s">
        <v>3385</v>
      </c>
      <c r="H317" s="200">
        <v>2954.7</v>
      </c>
      <c r="I317" s="199" t="s">
        <v>20</v>
      </c>
      <c r="J317" s="199" t="s">
        <v>415</v>
      </c>
      <c r="K317" s="201">
        <v>45480</v>
      </c>
      <c r="L317" s="199" t="s">
        <v>3616</v>
      </c>
      <c r="M317" s="199" t="s">
        <v>3320</v>
      </c>
    </row>
    <row r="318" spans="1:13" ht="85.5">
      <c r="A318" s="199">
        <v>317</v>
      </c>
      <c r="B318" s="199" t="s">
        <v>3657</v>
      </c>
      <c r="C318" s="199" t="s">
        <v>25</v>
      </c>
      <c r="D318" s="199" t="s">
        <v>35</v>
      </c>
      <c r="E318" s="199">
        <v>10</v>
      </c>
      <c r="F318" s="199" t="s">
        <v>3385</v>
      </c>
      <c r="G318" s="199" t="s">
        <v>3385</v>
      </c>
      <c r="H318" s="200">
        <v>517.6</v>
      </c>
      <c r="I318" s="199" t="s">
        <v>20</v>
      </c>
      <c r="J318" s="199" t="s">
        <v>415</v>
      </c>
      <c r="K318" s="201">
        <v>45480</v>
      </c>
      <c r="L318" s="199" t="s">
        <v>3616</v>
      </c>
      <c r="M318" s="199" t="s">
        <v>3320</v>
      </c>
    </row>
    <row r="319" spans="1:13" ht="85.5">
      <c r="A319" s="199">
        <v>318</v>
      </c>
      <c r="B319" s="199" t="s">
        <v>3658</v>
      </c>
      <c r="C319" s="199" t="s">
        <v>25</v>
      </c>
      <c r="D319" s="199" t="s">
        <v>35</v>
      </c>
      <c r="E319" s="199">
        <v>20</v>
      </c>
      <c r="F319" s="199" t="s">
        <v>3385</v>
      </c>
      <c r="G319" s="199" t="s">
        <v>3385</v>
      </c>
      <c r="H319" s="200">
        <v>1090.8</v>
      </c>
      <c r="I319" s="199" t="s">
        <v>20</v>
      </c>
      <c r="J319" s="199" t="s">
        <v>415</v>
      </c>
      <c r="K319" s="201">
        <v>45480</v>
      </c>
      <c r="L319" s="199" t="s">
        <v>3616</v>
      </c>
      <c r="M319" s="199" t="s">
        <v>3320</v>
      </c>
    </row>
    <row r="320" spans="1:13" ht="85.5">
      <c r="A320" s="199">
        <v>319</v>
      </c>
      <c r="B320" s="199" t="s">
        <v>3659</v>
      </c>
      <c r="C320" s="199" t="s">
        <v>25</v>
      </c>
      <c r="D320" s="199" t="s">
        <v>35</v>
      </c>
      <c r="E320" s="199">
        <v>10</v>
      </c>
      <c r="F320" s="199" t="s">
        <v>3385</v>
      </c>
      <c r="G320" s="199" t="s">
        <v>3385</v>
      </c>
      <c r="H320" s="200">
        <v>706.2</v>
      </c>
      <c r="I320" s="199" t="s">
        <v>20</v>
      </c>
      <c r="J320" s="199" t="s">
        <v>415</v>
      </c>
      <c r="K320" s="201">
        <v>45480</v>
      </c>
      <c r="L320" s="199" t="s">
        <v>3616</v>
      </c>
      <c r="M320" s="199" t="s">
        <v>3320</v>
      </c>
    </row>
    <row r="321" spans="1:13" ht="85.5">
      <c r="A321" s="199">
        <v>320</v>
      </c>
      <c r="B321" s="199" t="s">
        <v>3660</v>
      </c>
      <c r="C321" s="199" t="s">
        <v>25</v>
      </c>
      <c r="D321" s="199" t="s">
        <v>35</v>
      </c>
      <c r="E321" s="199">
        <v>20</v>
      </c>
      <c r="F321" s="199" t="s">
        <v>3385</v>
      </c>
      <c r="G321" s="199" t="s">
        <v>3385</v>
      </c>
      <c r="H321" s="200">
        <v>733</v>
      </c>
      <c r="I321" s="199" t="s">
        <v>20</v>
      </c>
      <c r="J321" s="199" t="s">
        <v>415</v>
      </c>
      <c r="K321" s="201">
        <v>45480</v>
      </c>
      <c r="L321" s="199" t="s">
        <v>3616</v>
      </c>
      <c r="M321" s="199" t="s">
        <v>3320</v>
      </c>
    </row>
    <row r="322" spans="1:13" ht="85.5">
      <c r="A322" s="199">
        <v>321</v>
      </c>
      <c r="B322" s="199" t="s">
        <v>3661</v>
      </c>
      <c r="C322" s="199" t="s">
        <v>25</v>
      </c>
      <c r="D322" s="199" t="s">
        <v>35</v>
      </c>
      <c r="E322" s="199">
        <v>10</v>
      </c>
      <c r="F322" s="199" t="s">
        <v>3385</v>
      </c>
      <c r="G322" s="199" t="s">
        <v>3385</v>
      </c>
      <c r="H322" s="200">
        <v>8063.1</v>
      </c>
      <c r="I322" s="199" t="s">
        <v>20</v>
      </c>
      <c r="J322" s="199" t="s">
        <v>415</v>
      </c>
      <c r="K322" s="201">
        <v>45480</v>
      </c>
      <c r="L322" s="199" t="s">
        <v>3616</v>
      </c>
      <c r="M322" s="199" t="s">
        <v>3320</v>
      </c>
    </row>
    <row r="323" spans="1:13" ht="85.5">
      <c r="A323" s="199">
        <v>322</v>
      </c>
      <c r="B323" s="199" t="s">
        <v>3662</v>
      </c>
      <c r="C323" s="199" t="s">
        <v>25</v>
      </c>
      <c r="D323" s="199" t="s">
        <v>35</v>
      </c>
      <c r="E323" s="199">
        <v>10</v>
      </c>
      <c r="F323" s="199" t="s">
        <v>3385</v>
      </c>
      <c r="G323" s="199" t="s">
        <v>3385</v>
      </c>
      <c r="H323" s="200">
        <v>1143.5999999999999</v>
      </c>
      <c r="I323" s="199" t="s">
        <v>20</v>
      </c>
      <c r="J323" s="199" t="s">
        <v>415</v>
      </c>
      <c r="K323" s="201">
        <v>45480</v>
      </c>
      <c r="L323" s="199" t="s">
        <v>3616</v>
      </c>
      <c r="M323" s="199" t="s">
        <v>3320</v>
      </c>
    </row>
    <row r="324" spans="1:13" ht="85.5">
      <c r="A324" s="199">
        <v>323</v>
      </c>
      <c r="B324" s="199" t="s">
        <v>3663</v>
      </c>
      <c r="C324" s="199" t="s">
        <v>25</v>
      </c>
      <c r="D324" s="199" t="s">
        <v>35</v>
      </c>
      <c r="E324" s="199">
        <v>10</v>
      </c>
      <c r="F324" s="199" t="s">
        <v>3385</v>
      </c>
      <c r="G324" s="199" t="s">
        <v>3385</v>
      </c>
      <c r="H324" s="200">
        <v>3627.1</v>
      </c>
      <c r="I324" s="199" t="s">
        <v>20</v>
      </c>
      <c r="J324" s="199" t="s">
        <v>415</v>
      </c>
      <c r="K324" s="201">
        <v>45480</v>
      </c>
      <c r="L324" s="199" t="s">
        <v>3616</v>
      </c>
      <c r="M324" s="199" t="s">
        <v>3320</v>
      </c>
    </row>
    <row r="325" spans="1:13" ht="85.5">
      <c r="A325" s="199">
        <v>324</v>
      </c>
      <c r="B325" s="199" t="s">
        <v>3664</v>
      </c>
      <c r="C325" s="199" t="s">
        <v>25</v>
      </c>
      <c r="D325" s="199" t="s">
        <v>35</v>
      </c>
      <c r="E325" s="199">
        <v>20</v>
      </c>
      <c r="F325" s="199" t="s">
        <v>3385</v>
      </c>
      <c r="G325" s="199" t="s">
        <v>3385</v>
      </c>
      <c r="H325" s="200">
        <v>114.6</v>
      </c>
      <c r="I325" s="199" t="s">
        <v>20</v>
      </c>
      <c r="J325" s="199" t="s">
        <v>415</v>
      </c>
      <c r="K325" s="201">
        <v>45480</v>
      </c>
      <c r="L325" s="199" t="s">
        <v>3616</v>
      </c>
      <c r="M325" s="199" t="s">
        <v>3320</v>
      </c>
    </row>
    <row r="326" spans="1:13" ht="85.5">
      <c r="A326" s="199">
        <v>325</v>
      </c>
      <c r="B326" s="199" t="s">
        <v>3665</v>
      </c>
      <c r="C326" s="199" t="s">
        <v>25</v>
      </c>
      <c r="D326" s="199" t="s">
        <v>35</v>
      </c>
      <c r="E326" s="199">
        <v>20</v>
      </c>
      <c r="F326" s="199" t="s">
        <v>3385</v>
      </c>
      <c r="G326" s="199" t="s">
        <v>3385</v>
      </c>
      <c r="H326" s="200">
        <v>2690.6</v>
      </c>
      <c r="I326" s="199" t="s">
        <v>20</v>
      </c>
      <c r="J326" s="199" t="s">
        <v>415</v>
      </c>
      <c r="K326" s="201">
        <v>45480</v>
      </c>
      <c r="L326" s="199" t="s">
        <v>3616</v>
      </c>
      <c r="M326" s="199" t="s">
        <v>3320</v>
      </c>
    </row>
    <row r="327" spans="1:13" ht="85.5">
      <c r="A327" s="199">
        <v>326</v>
      </c>
      <c r="B327" s="199" t="s">
        <v>3666</v>
      </c>
      <c r="C327" s="199" t="s">
        <v>25</v>
      </c>
      <c r="D327" s="199" t="s">
        <v>35</v>
      </c>
      <c r="E327" s="199">
        <v>10</v>
      </c>
      <c r="F327" s="199" t="s">
        <v>3385</v>
      </c>
      <c r="G327" s="199" t="s">
        <v>3385</v>
      </c>
      <c r="H327" s="200">
        <v>947.7</v>
      </c>
      <c r="I327" s="199" t="s">
        <v>20</v>
      </c>
      <c r="J327" s="199" t="s">
        <v>415</v>
      </c>
      <c r="K327" s="201">
        <v>45480</v>
      </c>
      <c r="L327" s="199" t="s">
        <v>3616</v>
      </c>
      <c r="M327" s="199" t="s">
        <v>3320</v>
      </c>
    </row>
    <row r="328" spans="1:13" ht="85.5">
      <c r="A328" s="199">
        <v>327</v>
      </c>
      <c r="B328" s="199" t="s">
        <v>3667</v>
      </c>
      <c r="C328" s="199" t="s">
        <v>25</v>
      </c>
      <c r="D328" s="199" t="s">
        <v>35</v>
      </c>
      <c r="E328" s="199">
        <v>10</v>
      </c>
      <c r="F328" s="199" t="s">
        <v>3385</v>
      </c>
      <c r="G328" s="199" t="s">
        <v>3385</v>
      </c>
      <c r="H328" s="200">
        <v>81.599999999999994</v>
      </c>
      <c r="I328" s="199" t="s">
        <v>20</v>
      </c>
      <c r="J328" s="199" t="s">
        <v>415</v>
      </c>
      <c r="K328" s="201">
        <v>45480</v>
      </c>
      <c r="L328" s="199" t="s">
        <v>3616</v>
      </c>
      <c r="M328" s="199" t="s">
        <v>3320</v>
      </c>
    </row>
    <row r="329" spans="1:13" ht="85.5">
      <c r="A329" s="199">
        <v>328</v>
      </c>
      <c r="B329" s="199" t="s">
        <v>3668</v>
      </c>
      <c r="C329" s="199" t="s">
        <v>25</v>
      </c>
      <c r="D329" s="199" t="s">
        <v>35</v>
      </c>
      <c r="E329" s="199">
        <v>10</v>
      </c>
      <c r="F329" s="199" t="s">
        <v>3385</v>
      </c>
      <c r="G329" s="199" t="s">
        <v>3385</v>
      </c>
      <c r="H329" s="200">
        <v>3327.8</v>
      </c>
      <c r="I329" s="199" t="s">
        <v>20</v>
      </c>
      <c r="J329" s="199" t="s">
        <v>415</v>
      </c>
      <c r="K329" s="201">
        <v>45480</v>
      </c>
      <c r="L329" s="199" t="s">
        <v>3616</v>
      </c>
      <c r="M329" s="199" t="s">
        <v>3320</v>
      </c>
    </row>
    <row r="330" spans="1:13" ht="85.5">
      <c r="A330" s="199">
        <v>329</v>
      </c>
      <c r="B330" s="199" t="s">
        <v>3669</v>
      </c>
      <c r="C330" s="199" t="s">
        <v>25</v>
      </c>
      <c r="D330" s="199" t="s">
        <v>35</v>
      </c>
      <c r="E330" s="199">
        <v>20</v>
      </c>
      <c r="F330" s="199" t="s">
        <v>3385</v>
      </c>
      <c r="G330" s="199" t="s">
        <v>3385</v>
      </c>
      <c r="H330" s="200">
        <v>3040.4</v>
      </c>
      <c r="I330" s="199" t="s">
        <v>20</v>
      </c>
      <c r="J330" s="199" t="s">
        <v>415</v>
      </c>
      <c r="K330" s="201">
        <v>45480</v>
      </c>
      <c r="L330" s="199" t="s">
        <v>3616</v>
      </c>
      <c r="M330" s="199" t="s">
        <v>3320</v>
      </c>
    </row>
    <row r="331" spans="1:13" ht="85.5">
      <c r="A331" s="199">
        <v>330</v>
      </c>
      <c r="B331" s="199" t="s">
        <v>3670</v>
      </c>
      <c r="C331" s="199" t="s">
        <v>25</v>
      </c>
      <c r="D331" s="199" t="s">
        <v>35</v>
      </c>
      <c r="E331" s="199">
        <v>10</v>
      </c>
      <c r="F331" s="199" t="s">
        <v>3385</v>
      </c>
      <c r="G331" s="199" t="s">
        <v>3385</v>
      </c>
      <c r="H331" s="200">
        <v>205.9</v>
      </c>
      <c r="I331" s="199" t="s">
        <v>20</v>
      </c>
      <c r="J331" s="199" t="s">
        <v>415</v>
      </c>
      <c r="K331" s="201">
        <v>45480</v>
      </c>
      <c r="L331" s="199" t="s">
        <v>3616</v>
      </c>
      <c r="M331" s="199" t="s">
        <v>3320</v>
      </c>
    </row>
    <row r="332" spans="1:13" ht="85.5">
      <c r="A332" s="199">
        <v>331</v>
      </c>
      <c r="B332" s="199" t="s">
        <v>3671</v>
      </c>
      <c r="C332" s="199" t="s">
        <v>25</v>
      </c>
      <c r="D332" s="199" t="s">
        <v>35</v>
      </c>
      <c r="E332" s="199">
        <v>20</v>
      </c>
      <c r="F332" s="199" t="s">
        <v>3385</v>
      </c>
      <c r="G332" s="199" t="s">
        <v>3385</v>
      </c>
      <c r="H332" s="200">
        <v>543.4</v>
      </c>
      <c r="I332" s="199" t="s">
        <v>20</v>
      </c>
      <c r="J332" s="199" t="s">
        <v>415</v>
      </c>
      <c r="K332" s="201">
        <v>45480</v>
      </c>
      <c r="L332" s="199" t="s">
        <v>3616</v>
      </c>
      <c r="M332" s="199" t="s">
        <v>3320</v>
      </c>
    </row>
    <row r="333" spans="1:13" ht="85.5">
      <c r="A333" s="199">
        <v>332</v>
      </c>
      <c r="B333" s="199" t="s">
        <v>3672</v>
      </c>
      <c r="C333" s="199" t="s">
        <v>25</v>
      </c>
      <c r="D333" s="199" t="s">
        <v>35</v>
      </c>
      <c r="E333" s="199">
        <v>20</v>
      </c>
      <c r="F333" s="199" t="s">
        <v>3385</v>
      </c>
      <c r="G333" s="199" t="s">
        <v>3385</v>
      </c>
      <c r="H333" s="200">
        <v>517.4</v>
      </c>
      <c r="I333" s="199" t="s">
        <v>20</v>
      </c>
      <c r="J333" s="199" t="s">
        <v>415</v>
      </c>
      <c r="K333" s="201">
        <v>45480</v>
      </c>
      <c r="L333" s="199" t="s">
        <v>3616</v>
      </c>
      <c r="M333" s="199" t="s">
        <v>3320</v>
      </c>
    </row>
    <row r="334" spans="1:13" ht="85.5">
      <c r="A334" s="199">
        <v>333</v>
      </c>
      <c r="B334" s="199" t="s">
        <v>3673</v>
      </c>
      <c r="C334" s="199" t="s">
        <v>25</v>
      </c>
      <c r="D334" s="199" t="s">
        <v>35</v>
      </c>
      <c r="E334" s="199">
        <v>20</v>
      </c>
      <c r="F334" s="199" t="s">
        <v>3385</v>
      </c>
      <c r="G334" s="199" t="s">
        <v>3385</v>
      </c>
      <c r="H334" s="200">
        <v>510.8</v>
      </c>
      <c r="I334" s="199" t="s">
        <v>20</v>
      </c>
      <c r="J334" s="199" t="s">
        <v>415</v>
      </c>
      <c r="K334" s="201">
        <v>45480</v>
      </c>
      <c r="L334" s="199" t="s">
        <v>3616</v>
      </c>
      <c r="M334" s="199" t="s">
        <v>3320</v>
      </c>
    </row>
    <row r="335" spans="1:13" ht="85.5">
      <c r="A335" s="199">
        <v>334</v>
      </c>
      <c r="B335" s="199" t="s">
        <v>3674</v>
      </c>
      <c r="C335" s="199" t="s">
        <v>25</v>
      </c>
      <c r="D335" s="199" t="s">
        <v>35</v>
      </c>
      <c r="E335" s="199">
        <v>20</v>
      </c>
      <c r="F335" s="199" t="s">
        <v>3385</v>
      </c>
      <c r="G335" s="199" t="s">
        <v>3385</v>
      </c>
      <c r="H335" s="200">
        <v>864.4</v>
      </c>
      <c r="I335" s="199" t="s">
        <v>20</v>
      </c>
      <c r="J335" s="199" t="s">
        <v>415</v>
      </c>
      <c r="K335" s="201">
        <v>45480</v>
      </c>
      <c r="L335" s="199" t="s">
        <v>3616</v>
      </c>
      <c r="M335" s="199" t="s">
        <v>3320</v>
      </c>
    </row>
    <row r="336" spans="1:13" ht="85.5">
      <c r="A336" s="199">
        <v>335</v>
      </c>
      <c r="B336" s="199" t="s">
        <v>3675</v>
      </c>
      <c r="C336" s="199" t="s">
        <v>25</v>
      </c>
      <c r="D336" s="199" t="s">
        <v>35</v>
      </c>
      <c r="E336" s="199">
        <v>30</v>
      </c>
      <c r="F336" s="199" t="s">
        <v>3385</v>
      </c>
      <c r="G336" s="199" t="s">
        <v>3385</v>
      </c>
      <c r="H336" s="200">
        <v>571.5</v>
      </c>
      <c r="I336" s="199" t="s">
        <v>20</v>
      </c>
      <c r="J336" s="199" t="s">
        <v>415</v>
      </c>
      <c r="K336" s="201">
        <v>45480</v>
      </c>
      <c r="L336" s="199" t="s">
        <v>3616</v>
      </c>
      <c r="M336" s="199" t="s">
        <v>3320</v>
      </c>
    </row>
    <row r="337" spans="1:13" ht="85.5">
      <c r="A337" s="199">
        <v>336</v>
      </c>
      <c r="B337" s="199" t="s">
        <v>3676</v>
      </c>
      <c r="C337" s="199" t="s">
        <v>25</v>
      </c>
      <c r="D337" s="199" t="s">
        <v>35</v>
      </c>
      <c r="E337" s="199">
        <v>30</v>
      </c>
      <c r="F337" s="199" t="s">
        <v>3385</v>
      </c>
      <c r="G337" s="199" t="s">
        <v>3385</v>
      </c>
      <c r="H337" s="200">
        <v>639</v>
      </c>
      <c r="I337" s="199" t="s">
        <v>20</v>
      </c>
      <c r="J337" s="199" t="s">
        <v>415</v>
      </c>
      <c r="K337" s="201">
        <v>45480</v>
      </c>
      <c r="L337" s="199" t="s">
        <v>3616</v>
      </c>
      <c r="M337" s="199" t="s">
        <v>3320</v>
      </c>
    </row>
    <row r="338" spans="1:13" ht="85.5">
      <c r="A338" s="199">
        <v>337</v>
      </c>
      <c r="B338" s="199" t="s">
        <v>3677</v>
      </c>
      <c r="C338" s="199" t="s">
        <v>25</v>
      </c>
      <c r="D338" s="199" t="s">
        <v>35</v>
      </c>
      <c r="E338" s="199">
        <v>30</v>
      </c>
      <c r="F338" s="199" t="s">
        <v>3385</v>
      </c>
      <c r="G338" s="199" t="s">
        <v>3385</v>
      </c>
      <c r="H338" s="200">
        <v>473.4</v>
      </c>
      <c r="I338" s="199" t="s">
        <v>20</v>
      </c>
      <c r="J338" s="199" t="s">
        <v>415</v>
      </c>
      <c r="K338" s="201">
        <v>45480</v>
      </c>
      <c r="L338" s="199" t="s">
        <v>3616</v>
      </c>
      <c r="M338" s="199" t="s">
        <v>3320</v>
      </c>
    </row>
    <row r="339" spans="1:13" ht="85.5">
      <c r="A339" s="199">
        <v>338</v>
      </c>
      <c r="B339" s="199" t="s">
        <v>3678</v>
      </c>
      <c r="C339" s="199" t="s">
        <v>25</v>
      </c>
      <c r="D339" s="199" t="s">
        <v>35</v>
      </c>
      <c r="E339" s="199">
        <v>10</v>
      </c>
      <c r="F339" s="199" t="s">
        <v>3385</v>
      </c>
      <c r="G339" s="199" t="s">
        <v>3385</v>
      </c>
      <c r="H339" s="200">
        <v>482.7</v>
      </c>
      <c r="I339" s="199" t="s">
        <v>20</v>
      </c>
      <c r="J339" s="199" t="s">
        <v>415</v>
      </c>
      <c r="K339" s="201">
        <v>45480</v>
      </c>
      <c r="L339" s="199" t="s">
        <v>3616</v>
      </c>
      <c r="M339" s="199" t="s">
        <v>3320</v>
      </c>
    </row>
    <row r="340" spans="1:13" ht="85.5">
      <c r="A340" s="199">
        <v>339</v>
      </c>
      <c r="B340" s="199" t="s">
        <v>3679</v>
      </c>
      <c r="C340" s="199" t="s">
        <v>25</v>
      </c>
      <c r="D340" s="199" t="s">
        <v>35</v>
      </c>
      <c r="E340" s="199">
        <v>10</v>
      </c>
      <c r="F340" s="199" t="s">
        <v>3385</v>
      </c>
      <c r="G340" s="199" t="s">
        <v>3385</v>
      </c>
      <c r="H340" s="200">
        <v>303.60000000000002</v>
      </c>
      <c r="I340" s="199" t="s">
        <v>20</v>
      </c>
      <c r="J340" s="199" t="s">
        <v>415</v>
      </c>
      <c r="K340" s="201">
        <v>45480</v>
      </c>
      <c r="L340" s="199" t="s">
        <v>3616</v>
      </c>
      <c r="M340" s="199" t="s">
        <v>3320</v>
      </c>
    </row>
    <row r="341" spans="1:13" ht="85.5">
      <c r="A341" s="199">
        <v>340</v>
      </c>
      <c r="B341" s="199" t="s">
        <v>3680</v>
      </c>
      <c r="C341" s="199" t="s">
        <v>25</v>
      </c>
      <c r="D341" s="199" t="s">
        <v>35</v>
      </c>
      <c r="E341" s="199">
        <v>10</v>
      </c>
      <c r="F341" s="199" t="s">
        <v>3385</v>
      </c>
      <c r="G341" s="199" t="s">
        <v>3385</v>
      </c>
      <c r="H341" s="200">
        <v>1946.2</v>
      </c>
      <c r="I341" s="199" t="s">
        <v>20</v>
      </c>
      <c r="J341" s="199" t="s">
        <v>415</v>
      </c>
      <c r="K341" s="201">
        <v>45480</v>
      </c>
      <c r="L341" s="199" t="s">
        <v>3616</v>
      </c>
      <c r="M341" s="199" t="s">
        <v>3320</v>
      </c>
    </row>
    <row r="342" spans="1:13" ht="85.5">
      <c r="A342" s="199">
        <v>341</v>
      </c>
      <c r="B342" s="199" t="s">
        <v>3681</v>
      </c>
      <c r="C342" s="199" t="s">
        <v>25</v>
      </c>
      <c r="D342" s="199" t="s">
        <v>35</v>
      </c>
      <c r="E342" s="199">
        <v>30</v>
      </c>
      <c r="F342" s="199" t="s">
        <v>3385</v>
      </c>
      <c r="G342" s="199" t="s">
        <v>3385</v>
      </c>
      <c r="H342" s="200">
        <v>1083</v>
      </c>
      <c r="I342" s="199" t="s">
        <v>20</v>
      </c>
      <c r="J342" s="199" t="s">
        <v>415</v>
      </c>
      <c r="K342" s="201">
        <v>45480</v>
      </c>
      <c r="L342" s="199" t="s">
        <v>3616</v>
      </c>
      <c r="M342" s="199" t="s">
        <v>3320</v>
      </c>
    </row>
    <row r="343" spans="1:13" ht="85.5">
      <c r="A343" s="199">
        <v>342</v>
      </c>
      <c r="B343" s="199" t="s">
        <v>3682</v>
      </c>
      <c r="C343" s="199" t="s">
        <v>25</v>
      </c>
      <c r="D343" s="199" t="s">
        <v>35</v>
      </c>
      <c r="E343" s="199">
        <v>10</v>
      </c>
      <c r="F343" s="199" t="s">
        <v>3385</v>
      </c>
      <c r="G343" s="199" t="s">
        <v>3385</v>
      </c>
      <c r="H343" s="200">
        <v>387.4</v>
      </c>
      <c r="I343" s="199" t="s">
        <v>20</v>
      </c>
      <c r="J343" s="199" t="s">
        <v>415</v>
      </c>
      <c r="K343" s="201">
        <v>45480</v>
      </c>
      <c r="L343" s="199" t="s">
        <v>3616</v>
      </c>
      <c r="M343" s="199" t="s">
        <v>3320</v>
      </c>
    </row>
    <row r="344" spans="1:13" ht="85.5">
      <c r="A344" s="199">
        <v>343</v>
      </c>
      <c r="B344" s="199" t="s">
        <v>3683</v>
      </c>
      <c r="C344" s="199" t="s">
        <v>25</v>
      </c>
      <c r="D344" s="199" t="s">
        <v>35</v>
      </c>
      <c r="E344" s="199">
        <v>10</v>
      </c>
      <c r="F344" s="199" t="s">
        <v>3385</v>
      </c>
      <c r="G344" s="199" t="s">
        <v>3385</v>
      </c>
      <c r="H344" s="200">
        <v>406.4</v>
      </c>
      <c r="I344" s="199" t="s">
        <v>20</v>
      </c>
      <c r="J344" s="199" t="s">
        <v>415</v>
      </c>
      <c r="K344" s="201">
        <v>45480</v>
      </c>
      <c r="L344" s="199" t="s">
        <v>3616</v>
      </c>
      <c r="M344" s="199" t="s">
        <v>3320</v>
      </c>
    </row>
    <row r="345" spans="1:13" ht="85.5">
      <c r="A345" s="199">
        <v>344</v>
      </c>
      <c r="B345" s="199" t="s">
        <v>3684</v>
      </c>
      <c r="C345" s="199" t="s">
        <v>25</v>
      </c>
      <c r="D345" s="199" t="s">
        <v>35</v>
      </c>
      <c r="E345" s="199">
        <v>20</v>
      </c>
      <c r="F345" s="199" t="s">
        <v>3385</v>
      </c>
      <c r="G345" s="199" t="s">
        <v>3385</v>
      </c>
      <c r="H345" s="200">
        <v>408.6</v>
      </c>
      <c r="I345" s="199" t="s">
        <v>20</v>
      </c>
      <c r="J345" s="199" t="s">
        <v>415</v>
      </c>
      <c r="K345" s="201">
        <v>45480</v>
      </c>
      <c r="L345" s="199" t="s">
        <v>3616</v>
      </c>
      <c r="M345" s="199" t="s">
        <v>3320</v>
      </c>
    </row>
    <row r="346" spans="1:13" ht="85.5">
      <c r="A346" s="199">
        <v>345</v>
      </c>
      <c r="B346" s="199" t="s">
        <v>3685</v>
      </c>
      <c r="C346" s="199" t="s">
        <v>25</v>
      </c>
      <c r="D346" s="199" t="s">
        <v>35</v>
      </c>
      <c r="E346" s="199">
        <v>20</v>
      </c>
      <c r="F346" s="199" t="s">
        <v>3385</v>
      </c>
      <c r="G346" s="199" t="s">
        <v>3385</v>
      </c>
      <c r="H346" s="200">
        <v>1764.8</v>
      </c>
      <c r="I346" s="199" t="s">
        <v>20</v>
      </c>
      <c r="J346" s="199" t="s">
        <v>415</v>
      </c>
      <c r="K346" s="201">
        <v>45480</v>
      </c>
      <c r="L346" s="199" t="s">
        <v>3616</v>
      </c>
      <c r="M346" s="199" t="s">
        <v>3320</v>
      </c>
    </row>
    <row r="347" spans="1:13" ht="85.5">
      <c r="A347" s="199">
        <v>346</v>
      </c>
      <c r="B347" s="199" t="s">
        <v>3686</v>
      </c>
      <c r="C347" s="199" t="s">
        <v>25</v>
      </c>
      <c r="D347" s="199" t="s">
        <v>35</v>
      </c>
      <c r="E347" s="199">
        <v>30</v>
      </c>
      <c r="F347" s="199" t="s">
        <v>3385</v>
      </c>
      <c r="G347" s="199" t="s">
        <v>3385</v>
      </c>
      <c r="H347" s="200">
        <v>735.6</v>
      </c>
      <c r="I347" s="199" t="s">
        <v>20</v>
      </c>
      <c r="J347" s="199" t="s">
        <v>415</v>
      </c>
      <c r="K347" s="201">
        <v>45480</v>
      </c>
      <c r="L347" s="199" t="s">
        <v>3616</v>
      </c>
      <c r="M347" s="199" t="s">
        <v>3320</v>
      </c>
    </row>
    <row r="348" spans="1:13" ht="85.5">
      <c r="A348" s="199">
        <v>347</v>
      </c>
      <c r="B348" s="199" t="s">
        <v>3687</v>
      </c>
      <c r="C348" s="199" t="s">
        <v>25</v>
      </c>
      <c r="D348" s="199" t="s">
        <v>35</v>
      </c>
      <c r="E348" s="199">
        <v>30</v>
      </c>
      <c r="F348" s="199" t="s">
        <v>3385</v>
      </c>
      <c r="G348" s="199" t="s">
        <v>3385</v>
      </c>
      <c r="H348" s="200">
        <v>975</v>
      </c>
      <c r="I348" s="199" t="s">
        <v>20</v>
      </c>
      <c r="J348" s="199" t="s">
        <v>415</v>
      </c>
      <c r="K348" s="201">
        <v>45480</v>
      </c>
      <c r="L348" s="199" t="s">
        <v>3616</v>
      </c>
      <c r="M348" s="199" t="s">
        <v>3320</v>
      </c>
    </row>
    <row r="349" spans="1:13" ht="85.5">
      <c r="A349" s="199">
        <v>348</v>
      </c>
      <c r="B349" s="199" t="s">
        <v>3688</v>
      </c>
      <c r="C349" s="199" t="s">
        <v>25</v>
      </c>
      <c r="D349" s="199" t="s">
        <v>35</v>
      </c>
      <c r="E349" s="199">
        <v>30</v>
      </c>
      <c r="F349" s="199" t="s">
        <v>3385</v>
      </c>
      <c r="G349" s="199" t="s">
        <v>3385</v>
      </c>
      <c r="H349" s="200">
        <v>918.6</v>
      </c>
      <c r="I349" s="199" t="s">
        <v>20</v>
      </c>
      <c r="J349" s="199" t="s">
        <v>415</v>
      </c>
      <c r="K349" s="201">
        <v>45480</v>
      </c>
      <c r="L349" s="199" t="s">
        <v>3616</v>
      </c>
      <c r="M349" s="199" t="s">
        <v>3320</v>
      </c>
    </row>
    <row r="350" spans="1:13" ht="85.5">
      <c r="A350" s="199">
        <v>349</v>
      </c>
      <c r="B350" s="199" t="s">
        <v>3689</v>
      </c>
      <c r="C350" s="199" t="s">
        <v>25</v>
      </c>
      <c r="D350" s="199" t="s">
        <v>35</v>
      </c>
      <c r="E350" s="199">
        <v>10</v>
      </c>
      <c r="F350" s="199" t="s">
        <v>3385</v>
      </c>
      <c r="G350" s="199" t="s">
        <v>3385</v>
      </c>
      <c r="H350" s="200">
        <v>1031.5999999999999</v>
      </c>
      <c r="I350" s="199" t="s">
        <v>20</v>
      </c>
      <c r="J350" s="199" t="s">
        <v>415</v>
      </c>
      <c r="K350" s="201">
        <v>45480</v>
      </c>
      <c r="L350" s="199" t="s">
        <v>3616</v>
      </c>
      <c r="M350" s="199" t="s">
        <v>3320</v>
      </c>
    </row>
    <row r="351" spans="1:13" ht="85.5">
      <c r="A351" s="199">
        <v>350</v>
      </c>
      <c r="B351" s="199" t="s">
        <v>3690</v>
      </c>
      <c r="C351" s="199" t="s">
        <v>25</v>
      </c>
      <c r="D351" s="199" t="s">
        <v>35</v>
      </c>
      <c r="E351" s="199">
        <v>10</v>
      </c>
      <c r="F351" s="199" t="s">
        <v>3385</v>
      </c>
      <c r="G351" s="199" t="s">
        <v>3385</v>
      </c>
      <c r="H351" s="200">
        <v>429.6</v>
      </c>
      <c r="I351" s="199" t="s">
        <v>20</v>
      </c>
      <c r="J351" s="199" t="s">
        <v>415</v>
      </c>
      <c r="K351" s="201">
        <v>45480</v>
      </c>
      <c r="L351" s="199" t="s">
        <v>3616</v>
      </c>
      <c r="M351" s="199" t="s">
        <v>3320</v>
      </c>
    </row>
    <row r="352" spans="1:13" ht="85.5">
      <c r="A352" s="199">
        <v>351</v>
      </c>
      <c r="B352" s="199" t="s">
        <v>3691</v>
      </c>
      <c r="C352" s="199" t="s">
        <v>25</v>
      </c>
      <c r="D352" s="199" t="s">
        <v>35</v>
      </c>
      <c r="E352" s="199">
        <v>10</v>
      </c>
      <c r="F352" s="199" t="s">
        <v>3385</v>
      </c>
      <c r="G352" s="199" t="s">
        <v>3385</v>
      </c>
      <c r="H352" s="200">
        <v>817.3</v>
      </c>
      <c r="I352" s="199" t="s">
        <v>20</v>
      </c>
      <c r="J352" s="199" t="s">
        <v>415</v>
      </c>
      <c r="K352" s="201">
        <v>45480</v>
      </c>
      <c r="L352" s="199" t="s">
        <v>3616</v>
      </c>
      <c r="M352" s="199" t="s">
        <v>3320</v>
      </c>
    </row>
    <row r="353" spans="1:13" ht="85.5">
      <c r="A353" s="199">
        <v>352</v>
      </c>
      <c r="B353" s="199" t="s">
        <v>3692</v>
      </c>
      <c r="C353" s="199" t="s">
        <v>25</v>
      </c>
      <c r="D353" s="199" t="s">
        <v>35</v>
      </c>
      <c r="E353" s="199">
        <v>20</v>
      </c>
      <c r="F353" s="199" t="s">
        <v>3385</v>
      </c>
      <c r="G353" s="199" t="s">
        <v>3385</v>
      </c>
      <c r="H353" s="200">
        <v>1562.8</v>
      </c>
      <c r="I353" s="199" t="s">
        <v>20</v>
      </c>
      <c r="J353" s="199" t="s">
        <v>415</v>
      </c>
      <c r="K353" s="201">
        <v>45480</v>
      </c>
      <c r="L353" s="199" t="s">
        <v>3616</v>
      </c>
      <c r="M353" s="199" t="s">
        <v>3320</v>
      </c>
    </row>
    <row r="354" spans="1:13" ht="71.25">
      <c r="A354" s="199">
        <v>353</v>
      </c>
      <c r="B354" s="199" t="s">
        <v>3693</v>
      </c>
      <c r="C354" s="199" t="s">
        <v>25</v>
      </c>
      <c r="D354" s="199" t="s">
        <v>17</v>
      </c>
      <c r="E354" s="199">
        <v>600</v>
      </c>
      <c r="F354" s="199" t="s">
        <v>3385</v>
      </c>
      <c r="G354" s="199" t="s">
        <v>3385</v>
      </c>
      <c r="H354" s="200">
        <v>24834</v>
      </c>
      <c r="I354" s="199" t="s">
        <v>20</v>
      </c>
      <c r="J354" s="199" t="s">
        <v>415</v>
      </c>
      <c r="K354" s="199"/>
      <c r="L354" s="199" t="s">
        <v>3694</v>
      </c>
      <c r="M354" s="199" t="s">
        <v>3320</v>
      </c>
    </row>
    <row r="355" spans="1:13" ht="57">
      <c r="A355" s="199">
        <v>354</v>
      </c>
      <c r="B355" s="199" t="s">
        <v>3695</v>
      </c>
      <c r="C355" s="199" t="s">
        <v>34</v>
      </c>
      <c r="D355" s="199" t="s">
        <v>35</v>
      </c>
      <c r="E355" s="199">
        <v>400</v>
      </c>
      <c r="F355" s="199" t="s">
        <v>3696</v>
      </c>
      <c r="G355" s="199" t="s">
        <v>3697</v>
      </c>
      <c r="H355" s="200">
        <v>21720</v>
      </c>
      <c r="I355" s="199" t="s">
        <v>38</v>
      </c>
      <c r="J355" s="199" t="s">
        <v>415</v>
      </c>
      <c r="K355" s="201">
        <v>45536</v>
      </c>
      <c r="L355" s="199" t="s">
        <v>3698</v>
      </c>
      <c r="M355" s="199" t="s">
        <v>3320</v>
      </c>
    </row>
    <row r="356" spans="1:13" ht="85.5">
      <c r="A356" s="199">
        <v>355</v>
      </c>
      <c r="B356" s="199" t="s">
        <v>3699</v>
      </c>
      <c r="C356" s="199" t="s">
        <v>34</v>
      </c>
      <c r="D356" s="199" t="s">
        <v>35</v>
      </c>
      <c r="E356" s="199">
        <v>480</v>
      </c>
      <c r="F356" s="199" t="s">
        <v>8</v>
      </c>
      <c r="G356" s="199" t="s">
        <v>3697</v>
      </c>
      <c r="H356" s="200">
        <v>69686.399999999994</v>
      </c>
      <c r="I356" s="199" t="s">
        <v>20</v>
      </c>
      <c r="J356" s="199" t="s">
        <v>415</v>
      </c>
      <c r="K356" s="201">
        <v>45444</v>
      </c>
      <c r="L356" s="199" t="s">
        <v>3319</v>
      </c>
      <c r="M356" s="199" t="s">
        <v>3320</v>
      </c>
    </row>
    <row r="357" spans="1:13" ht="156.75">
      <c r="A357" s="199">
        <v>356</v>
      </c>
      <c r="B357" s="199" t="s">
        <v>3700</v>
      </c>
      <c r="C357" s="199" t="s">
        <v>34</v>
      </c>
      <c r="D357" s="199" t="s">
        <v>35</v>
      </c>
      <c r="E357" s="199">
        <v>720</v>
      </c>
      <c r="F357" s="199" t="s">
        <v>8</v>
      </c>
      <c r="G357" s="199" t="s">
        <v>3697</v>
      </c>
      <c r="H357" s="200">
        <v>33825.599999999999</v>
      </c>
      <c r="I357" s="199" t="s">
        <v>20</v>
      </c>
      <c r="J357" s="199" t="s">
        <v>415</v>
      </c>
      <c r="K357" s="201">
        <v>45444</v>
      </c>
      <c r="L357" s="199" t="s">
        <v>3319</v>
      </c>
      <c r="M357" s="199" t="s">
        <v>3320</v>
      </c>
    </row>
    <row r="358" spans="1:13" ht="171">
      <c r="A358" s="199">
        <v>357</v>
      </c>
      <c r="B358" s="199" t="s">
        <v>3701</v>
      </c>
      <c r="C358" s="199" t="s">
        <v>34</v>
      </c>
      <c r="D358" s="199" t="s">
        <v>35</v>
      </c>
      <c r="E358" s="199">
        <v>360</v>
      </c>
      <c r="F358" s="199" t="s">
        <v>8</v>
      </c>
      <c r="G358" s="199" t="s">
        <v>3697</v>
      </c>
      <c r="H358" s="200">
        <v>20815.2</v>
      </c>
      <c r="I358" s="199" t="s">
        <v>20</v>
      </c>
      <c r="J358" s="199" t="s">
        <v>415</v>
      </c>
      <c r="K358" s="201">
        <v>45444</v>
      </c>
      <c r="L358" s="199" t="s">
        <v>3319</v>
      </c>
      <c r="M358" s="199" t="s">
        <v>3320</v>
      </c>
    </row>
    <row r="359" spans="1:13" ht="171">
      <c r="A359" s="199">
        <v>358</v>
      </c>
      <c r="B359" s="199" t="s">
        <v>3702</v>
      </c>
      <c r="C359" s="199" t="s">
        <v>34</v>
      </c>
      <c r="D359" s="199" t="s">
        <v>35</v>
      </c>
      <c r="E359" s="199">
        <v>360</v>
      </c>
      <c r="F359" s="199" t="s">
        <v>8</v>
      </c>
      <c r="G359" s="199" t="s">
        <v>3697</v>
      </c>
      <c r="H359" s="200">
        <v>21294</v>
      </c>
      <c r="I359" s="199" t="s">
        <v>20</v>
      </c>
      <c r="J359" s="199" t="s">
        <v>415</v>
      </c>
      <c r="K359" s="201">
        <v>45444</v>
      </c>
      <c r="L359" s="199" t="s">
        <v>3319</v>
      </c>
      <c r="M359" s="199" t="s">
        <v>3320</v>
      </c>
    </row>
    <row r="360" spans="1:13" ht="128.25">
      <c r="A360" s="199">
        <v>359</v>
      </c>
      <c r="B360" s="199" t="s">
        <v>3703</v>
      </c>
      <c r="C360" s="199" t="s">
        <v>34</v>
      </c>
      <c r="D360" s="199" t="s">
        <v>35</v>
      </c>
      <c r="E360" s="199">
        <v>576</v>
      </c>
      <c r="F360" s="199" t="s">
        <v>8</v>
      </c>
      <c r="G360" s="199" t="s">
        <v>3697</v>
      </c>
      <c r="H360" s="200">
        <v>32186.880000000001</v>
      </c>
      <c r="I360" s="199" t="s">
        <v>20</v>
      </c>
      <c r="J360" s="199" t="s">
        <v>415</v>
      </c>
      <c r="K360" s="201">
        <v>45444</v>
      </c>
      <c r="L360" s="199" t="s">
        <v>3319</v>
      </c>
      <c r="M360" s="199" t="s">
        <v>3320</v>
      </c>
    </row>
    <row r="361" spans="1:13" ht="171">
      <c r="A361" s="199">
        <v>360</v>
      </c>
      <c r="B361" s="199" t="s">
        <v>3704</v>
      </c>
      <c r="C361" s="199" t="s">
        <v>34</v>
      </c>
      <c r="D361" s="199" t="s">
        <v>35</v>
      </c>
      <c r="E361" s="199">
        <v>576</v>
      </c>
      <c r="F361" s="199" t="s">
        <v>8</v>
      </c>
      <c r="G361" s="199" t="s">
        <v>3697</v>
      </c>
      <c r="H361" s="200">
        <v>41489.279999999999</v>
      </c>
      <c r="I361" s="199" t="s">
        <v>20</v>
      </c>
      <c r="J361" s="199" t="s">
        <v>415</v>
      </c>
      <c r="K361" s="201">
        <v>45444</v>
      </c>
      <c r="L361" s="199" t="s">
        <v>3319</v>
      </c>
      <c r="M361" s="199" t="s">
        <v>3320</v>
      </c>
    </row>
    <row r="362" spans="1:13" ht="185.25">
      <c r="A362" s="199">
        <v>361</v>
      </c>
      <c r="B362" s="199" t="s">
        <v>3705</v>
      </c>
      <c r="C362" s="199" t="s">
        <v>34</v>
      </c>
      <c r="D362" s="199" t="s">
        <v>35</v>
      </c>
      <c r="E362" s="199">
        <v>672</v>
      </c>
      <c r="F362" s="199" t="s">
        <v>8</v>
      </c>
      <c r="G362" s="199" t="s">
        <v>3697</v>
      </c>
      <c r="H362" s="200">
        <v>85512</v>
      </c>
      <c r="I362" s="199" t="s">
        <v>20</v>
      </c>
      <c r="J362" s="199" t="s">
        <v>415</v>
      </c>
      <c r="K362" s="201">
        <v>45444</v>
      </c>
      <c r="L362" s="199" t="s">
        <v>3319</v>
      </c>
      <c r="M362" s="199" t="s">
        <v>3320</v>
      </c>
    </row>
    <row r="363" spans="1:13" ht="171">
      <c r="A363" s="199">
        <v>362</v>
      </c>
      <c r="B363" s="199" t="s">
        <v>3706</v>
      </c>
      <c r="C363" s="199" t="s">
        <v>34</v>
      </c>
      <c r="D363" s="199" t="s">
        <v>35</v>
      </c>
      <c r="E363" s="199">
        <v>336</v>
      </c>
      <c r="F363" s="199" t="s">
        <v>8</v>
      </c>
      <c r="G363" s="199" t="s">
        <v>3697</v>
      </c>
      <c r="H363" s="200">
        <v>35800.800000000003</v>
      </c>
      <c r="I363" s="199" t="s">
        <v>20</v>
      </c>
      <c r="J363" s="199" t="s">
        <v>415</v>
      </c>
      <c r="K363" s="201">
        <v>45444</v>
      </c>
      <c r="L363" s="199" t="s">
        <v>3319</v>
      </c>
      <c r="M363" s="199" t="s">
        <v>3320</v>
      </c>
    </row>
    <row r="364" spans="1:13" ht="114">
      <c r="A364" s="199">
        <v>363</v>
      </c>
      <c r="B364" s="199" t="s">
        <v>3707</v>
      </c>
      <c r="C364" s="199" t="s">
        <v>34</v>
      </c>
      <c r="D364" s="199" t="s">
        <v>35</v>
      </c>
      <c r="E364" s="199">
        <v>6075</v>
      </c>
      <c r="F364" s="199" t="s">
        <v>8</v>
      </c>
      <c r="G364" s="199" t="s">
        <v>3697</v>
      </c>
      <c r="H364" s="200">
        <v>686718</v>
      </c>
      <c r="I364" s="199" t="s">
        <v>20</v>
      </c>
      <c r="J364" s="199" t="s">
        <v>415</v>
      </c>
      <c r="K364" s="201">
        <v>45444</v>
      </c>
      <c r="L364" s="199" t="s">
        <v>3319</v>
      </c>
      <c r="M364" s="199" t="s">
        <v>3320</v>
      </c>
    </row>
    <row r="365" spans="1:13" ht="114">
      <c r="A365" s="199">
        <v>364</v>
      </c>
      <c r="B365" s="199" t="s">
        <v>3708</v>
      </c>
      <c r="C365" s="199" t="s">
        <v>34</v>
      </c>
      <c r="D365" s="199" t="s">
        <v>35</v>
      </c>
      <c r="E365" s="199">
        <v>2025</v>
      </c>
      <c r="F365" s="199" t="s">
        <v>8</v>
      </c>
      <c r="G365" s="199" t="s">
        <v>3697</v>
      </c>
      <c r="H365" s="200">
        <v>222223.5</v>
      </c>
      <c r="I365" s="199" t="s">
        <v>20</v>
      </c>
      <c r="J365" s="199" t="s">
        <v>415</v>
      </c>
      <c r="K365" s="201">
        <v>45444</v>
      </c>
      <c r="L365" s="199" t="s">
        <v>3319</v>
      </c>
      <c r="M365" s="199" t="s">
        <v>3320</v>
      </c>
    </row>
    <row r="366" spans="1:13" ht="156.75">
      <c r="A366" s="199">
        <v>365</v>
      </c>
      <c r="B366" s="199" t="s">
        <v>3709</v>
      </c>
      <c r="C366" s="199" t="s">
        <v>34</v>
      </c>
      <c r="D366" s="199" t="s">
        <v>35</v>
      </c>
      <c r="E366" s="199">
        <v>480</v>
      </c>
      <c r="F366" s="199" t="s">
        <v>8</v>
      </c>
      <c r="G366" s="199" t="s">
        <v>3697</v>
      </c>
      <c r="H366" s="200">
        <v>36955.199999999997</v>
      </c>
      <c r="I366" s="199" t="s">
        <v>20</v>
      </c>
      <c r="J366" s="199" t="s">
        <v>415</v>
      </c>
      <c r="K366" s="201">
        <v>45444</v>
      </c>
      <c r="L366" s="199" t="s">
        <v>3319</v>
      </c>
      <c r="M366" s="199" t="s">
        <v>3320</v>
      </c>
    </row>
    <row r="367" spans="1:13" ht="85.5">
      <c r="A367" s="199">
        <v>366</v>
      </c>
      <c r="B367" s="199" t="s">
        <v>3710</v>
      </c>
      <c r="C367" s="199" t="s">
        <v>34</v>
      </c>
      <c r="D367" s="199" t="s">
        <v>35</v>
      </c>
      <c r="E367" s="199">
        <v>7</v>
      </c>
      <c r="F367" s="199" t="s">
        <v>8</v>
      </c>
      <c r="G367" s="199" t="s">
        <v>3697</v>
      </c>
      <c r="H367" s="200">
        <v>282.24</v>
      </c>
      <c r="I367" s="199" t="s">
        <v>20</v>
      </c>
      <c r="J367" s="199" t="s">
        <v>415</v>
      </c>
      <c r="K367" s="201">
        <v>45444</v>
      </c>
      <c r="L367" s="199" t="s">
        <v>3319</v>
      </c>
      <c r="M367" s="199" t="s">
        <v>3320</v>
      </c>
    </row>
    <row r="368" spans="1:13" ht="99.75">
      <c r="A368" s="199">
        <v>367</v>
      </c>
      <c r="B368" s="199" t="s">
        <v>3711</v>
      </c>
      <c r="C368" s="199" t="s">
        <v>34</v>
      </c>
      <c r="D368" s="199" t="s">
        <v>35</v>
      </c>
      <c r="E368" s="199">
        <v>1040</v>
      </c>
      <c r="F368" s="199" t="s">
        <v>8</v>
      </c>
      <c r="G368" s="199" t="s">
        <v>3712</v>
      </c>
      <c r="H368" s="200">
        <v>3005.6</v>
      </c>
      <c r="I368" s="199" t="s">
        <v>20</v>
      </c>
      <c r="J368" s="199" t="s">
        <v>415</v>
      </c>
      <c r="K368" s="201">
        <v>45412</v>
      </c>
      <c r="L368" s="199" t="s">
        <v>3319</v>
      </c>
      <c r="M368" s="199" t="s">
        <v>3320</v>
      </c>
    </row>
    <row r="369" spans="1:13" ht="99.75">
      <c r="A369" s="199">
        <v>368</v>
      </c>
      <c r="B369" s="199" t="s">
        <v>3713</v>
      </c>
      <c r="C369" s="199" t="s">
        <v>34</v>
      </c>
      <c r="D369" s="199" t="s">
        <v>35</v>
      </c>
      <c r="E369" s="199">
        <v>57536</v>
      </c>
      <c r="F369" s="199" t="s">
        <v>8</v>
      </c>
      <c r="G369" s="199" t="s">
        <v>3712</v>
      </c>
      <c r="H369" s="200">
        <v>174334.07999999999</v>
      </c>
      <c r="I369" s="199" t="s">
        <v>20</v>
      </c>
      <c r="J369" s="199" t="s">
        <v>415</v>
      </c>
      <c r="K369" s="201">
        <v>45412</v>
      </c>
      <c r="L369" s="199" t="s">
        <v>3319</v>
      </c>
      <c r="M369" s="199" t="s">
        <v>3320</v>
      </c>
    </row>
    <row r="370" spans="1:13" ht="99.75">
      <c r="A370" s="199">
        <v>369</v>
      </c>
      <c r="B370" s="199" t="s">
        <v>3714</v>
      </c>
      <c r="C370" s="199" t="s">
        <v>34</v>
      </c>
      <c r="D370" s="199" t="s">
        <v>35</v>
      </c>
      <c r="E370" s="199">
        <v>84616</v>
      </c>
      <c r="F370" s="199" t="s">
        <v>8</v>
      </c>
      <c r="G370" s="199" t="s">
        <v>3712</v>
      </c>
      <c r="H370" s="200">
        <v>269078.88</v>
      </c>
      <c r="I370" s="199" t="s">
        <v>20</v>
      </c>
      <c r="J370" s="199" t="s">
        <v>415</v>
      </c>
      <c r="K370" s="201">
        <v>45412</v>
      </c>
      <c r="L370" s="199" t="s">
        <v>3319</v>
      </c>
      <c r="M370" s="199" t="s">
        <v>3320</v>
      </c>
    </row>
    <row r="371" spans="1:13" ht="99.75">
      <c r="A371" s="199">
        <v>370</v>
      </c>
      <c r="B371" s="199" t="s">
        <v>3715</v>
      </c>
      <c r="C371" s="199" t="s">
        <v>34</v>
      </c>
      <c r="D371" s="199" t="s">
        <v>35</v>
      </c>
      <c r="E371" s="199">
        <v>79152</v>
      </c>
      <c r="F371" s="199" t="s">
        <v>8</v>
      </c>
      <c r="G371" s="199" t="s">
        <v>3712</v>
      </c>
      <c r="H371" s="200">
        <v>295236.96000000002</v>
      </c>
      <c r="I371" s="199" t="s">
        <v>20</v>
      </c>
      <c r="J371" s="199" t="s">
        <v>415</v>
      </c>
      <c r="K371" s="201">
        <v>45412</v>
      </c>
      <c r="L371" s="199" t="s">
        <v>3319</v>
      </c>
      <c r="M371" s="199" t="s">
        <v>3320</v>
      </c>
    </row>
    <row r="372" spans="1:13" ht="71.25">
      <c r="A372" s="199">
        <v>371</v>
      </c>
      <c r="B372" s="199" t="s">
        <v>3716</v>
      </c>
      <c r="C372" s="199" t="s">
        <v>34</v>
      </c>
      <c r="D372" s="199" t="s">
        <v>35</v>
      </c>
      <c r="E372" s="199">
        <v>200</v>
      </c>
      <c r="F372" s="199" t="s">
        <v>8</v>
      </c>
      <c r="G372" s="199" t="s">
        <v>206</v>
      </c>
      <c r="H372" s="200">
        <f>E372*109.63</f>
        <v>21926</v>
      </c>
      <c r="I372" s="199" t="s">
        <v>38</v>
      </c>
      <c r="J372" s="199" t="s">
        <v>415</v>
      </c>
      <c r="K372" s="201">
        <v>45383</v>
      </c>
      <c r="L372" s="199" t="s">
        <v>3717</v>
      </c>
      <c r="M372" s="199" t="s">
        <v>3320</v>
      </c>
    </row>
    <row r="373" spans="1:13" ht="71.25">
      <c r="A373" s="199">
        <v>372</v>
      </c>
      <c r="B373" s="199" t="s">
        <v>3718</v>
      </c>
      <c r="C373" s="199" t="s">
        <v>34</v>
      </c>
      <c r="D373" s="199" t="s">
        <v>35</v>
      </c>
      <c r="E373" s="199">
        <v>15</v>
      </c>
      <c r="F373" s="199" t="s">
        <v>8</v>
      </c>
      <c r="G373" s="199" t="s">
        <v>206</v>
      </c>
      <c r="H373" s="200">
        <f>E373*307.5</f>
        <v>4612.5</v>
      </c>
      <c r="I373" s="199" t="s">
        <v>38</v>
      </c>
      <c r="J373" s="199" t="s">
        <v>415</v>
      </c>
      <c r="K373" s="201">
        <v>45383</v>
      </c>
      <c r="L373" s="199" t="s">
        <v>3717</v>
      </c>
      <c r="M373" s="199" t="s">
        <v>3320</v>
      </c>
    </row>
    <row r="374" spans="1:13" ht="57">
      <c r="A374" s="199">
        <v>373</v>
      </c>
      <c r="B374" s="199" t="s">
        <v>3719</v>
      </c>
      <c r="C374" s="199" t="s">
        <v>34</v>
      </c>
      <c r="D374" s="199" t="s">
        <v>35</v>
      </c>
      <c r="E374" s="199">
        <v>100</v>
      </c>
      <c r="F374" s="199" t="s">
        <v>8</v>
      </c>
      <c r="G374" s="199" t="s">
        <v>206</v>
      </c>
      <c r="H374" s="200">
        <v>44962</v>
      </c>
      <c r="I374" s="199" t="s">
        <v>20</v>
      </c>
      <c r="J374" s="199" t="s">
        <v>415</v>
      </c>
      <c r="K374" s="201">
        <v>45383</v>
      </c>
      <c r="L374" s="199"/>
      <c r="M374" s="199" t="s">
        <v>3320</v>
      </c>
    </row>
    <row r="375" spans="1:13" ht="42.75">
      <c r="A375" s="199">
        <v>374</v>
      </c>
      <c r="B375" s="199" t="s">
        <v>3720</v>
      </c>
      <c r="C375" s="199" t="s">
        <v>34</v>
      </c>
      <c r="D375" s="199" t="s">
        <v>35</v>
      </c>
      <c r="E375" s="199">
        <v>25</v>
      </c>
      <c r="F375" s="199" t="s">
        <v>8</v>
      </c>
      <c r="G375" s="199" t="s">
        <v>206</v>
      </c>
      <c r="H375" s="200">
        <v>22544.25</v>
      </c>
      <c r="I375" s="199" t="s">
        <v>20</v>
      </c>
      <c r="J375" s="199" t="s">
        <v>415</v>
      </c>
      <c r="K375" s="201">
        <v>45383</v>
      </c>
      <c r="L375" s="199"/>
      <c r="M375" s="199" t="s">
        <v>3320</v>
      </c>
    </row>
    <row r="376" spans="1:13" ht="156.75">
      <c r="A376" s="199">
        <v>375</v>
      </c>
      <c r="B376" s="199" t="s">
        <v>3721</v>
      </c>
      <c r="C376" s="199" t="s">
        <v>34</v>
      </c>
      <c r="D376" s="199" t="s">
        <v>35</v>
      </c>
      <c r="E376" s="199">
        <v>15000</v>
      </c>
      <c r="F376" s="199" t="s">
        <v>8</v>
      </c>
      <c r="G376" s="199" t="s">
        <v>3722</v>
      </c>
      <c r="H376" s="200">
        <v>639900</v>
      </c>
      <c r="I376" s="199" t="s">
        <v>20</v>
      </c>
      <c r="J376" s="199" t="s">
        <v>415</v>
      </c>
      <c r="K376" s="201">
        <v>45407</v>
      </c>
      <c r="L376" s="199" t="s">
        <v>3319</v>
      </c>
      <c r="M376" s="199" t="s">
        <v>3320</v>
      </c>
    </row>
    <row r="377" spans="1:13" ht="85.5">
      <c r="A377" s="199">
        <v>376</v>
      </c>
      <c r="B377" s="199" t="s">
        <v>3723</v>
      </c>
      <c r="C377" s="199" t="s">
        <v>34</v>
      </c>
      <c r="D377" s="199" t="s">
        <v>35</v>
      </c>
      <c r="E377" s="199">
        <v>400</v>
      </c>
      <c r="F377" s="199" t="s">
        <v>8</v>
      </c>
      <c r="G377" s="199" t="s">
        <v>3722</v>
      </c>
      <c r="H377" s="200">
        <v>62800</v>
      </c>
      <c r="I377" s="199" t="s">
        <v>20</v>
      </c>
      <c r="J377" s="199" t="s">
        <v>415</v>
      </c>
      <c r="K377" s="201">
        <v>45407</v>
      </c>
      <c r="L377" s="199" t="s">
        <v>3319</v>
      </c>
      <c r="M377" s="199" t="s">
        <v>3320</v>
      </c>
    </row>
    <row r="378" spans="1:13" ht="85.5">
      <c r="A378" s="199">
        <v>377</v>
      </c>
      <c r="B378" s="199" t="s">
        <v>3724</v>
      </c>
      <c r="C378" s="199" t="s">
        <v>34</v>
      </c>
      <c r="D378" s="199" t="s">
        <v>35</v>
      </c>
      <c r="E378" s="199">
        <v>800</v>
      </c>
      <c r="F378" s="199" t="s">
        <v>8</v>
      </c>
      <c r="G378" s="199" t="s">
        <v>3722</v>
      </c>
      <c r="H378" s="200">
        <v>38664</v>
      </c>
      <c r="I378" s="199" t="s">
        <v>20</v>
      </c>
      <c r="J378" s="199" t="s">
        <v>415</v>
      </c>
      <c r="K378" s="201">
        <v>45407</v>
      </c>
      <c r="L378" s="199" t="s">
        <v>3319</v>
      </c>
      <c r="M378" s="199" t="s">
        <v>3320</v>
      </c>
    </row>
    <row r="379" spans="1:13" ht="57">
      <c r="A379" s="199">
        <v>378</v>
      </c>
      <c r="B379" s="199" t="s">
        <v>3725</v>
      </c>
      <c r="C379" s="199" t="s">
        <v>25</v>
      </c>
      <c r="D379" s="199" t="s">
        <v>17</v>
      </c>
      <c r="E379" s="199">
        <v>960</v>
      </c>
      <c r="F379" s="199" t="s">
        <v>885</v>
      </c>
      <c r="G379" s="199" t="s">
        <v>3722</v>
      </c>
      <c r="H379" s="200">
        <v>172099.20000000001</v>
      </c>
      <c r="I379" s="199" t="s">
        <v>38</v>
      </c>
      <c r="J379" s="199" t="s">
        <v>415</v>
      </c>
      <c r="K379" s="201">
        <v>45087</v>
      </c>
      <c r="L379" s="199" t="s">
        <v>3726</v>
      </c>
      <c r="M379" s="199" t="s">
        <v>3320</v>
      </c>
    </row>
    <row r="380" spans="1:13" ht="99.75">
      <c r="A380" s="199">
        <v>379</v>
      </c>
      <c r="B380" s="199" t="s">
        <v>3727</v>
      </c>
      <c r="C380" s="199" t="s">
        <v>34</v>
      </c>
      <c r="D380" s="199" t="s">
        <v>35</v>
      </c>
      <c r="E380" s="199">
        <v>320</v>
      </c>
      <c r="F380" s="199" t="s">
        <v>885</v>
      </c>
      <c r="G380" s="199" t="s">
        <v>3722</v>
      </c>
      <c r="H380" s="200">
        <v>26895</v>
      </c>
      <c r="I380" s="199" t="s">
        <v>38</v>
      </c>
      <c r="J380" s="199" t="s">
        <v>415</v>
      </c>
      <c r="K380" s="201">
        <v>45087</v>
      </c>
      <c r="L380" s="199" t="s">
        <v>3726</v>
      </c>
      <c r="M380" s="199" t="s">
        <v>3320</v>
      </c>
    </row>
    <row r="381" spans="1:13" ht="85.5">
      <c r="A381" s="199">
        <v>380</v>
      </c>
      <c r="B381" s="199" t="s">
        <v>3728</v>
      </c>
      <c r="C381" s="199" t="s">
        <v>34</v>
      </c>
      <c r="D381" s="199" t="s">
        <v>35</v>
      </c>
      <c r="E381" s="199">
        <v>10</v>
      </c>
      <c r="F381" s="199" t="s">
        <v>8</v>
      </c>
      <c r="G381" s="199" t="s">
        <v>3729</v>
      </c>
      <c r="H381" s="200">
        <v>77.400000000000006</v>
      </c>
      <c r="I381" s="199" t="s">
        <v>20</v>
      </c>
      <c r="J381" s="199" t="s">
        <v>415</v>
      </c>
      <c r="K381" s="201">
        <v>45432</v>
      </c>
      <c r="L381" s="199" t="s">
        <v>3319</v>
      </c>
      <c r="M381" s="199" t="s">
        <v>3320</v>
      </c>
    </row>
    <row r="382" spans="1:13" ht="85.5">
      <c r="A382" s="199">
        <v>381</v>
      </c>
      <c r="B382" s="199" t="s">
        <v>3730</v>
      </c>
      <c r="C382" s="199" t="s">
        <v>34</v>
      </c>
      <c r="D382" s="199" t="s">
        <v>35</v>
      </c>
      <c r="E382" s="199">
        <v>4000</v>
      </c>
      <c r="F382" s="199" t="s">
        <v>8</v>
      </c>
      <c r="G382" s="199" t="s">
        <v>3729</v>
      </c>
      <c r="H382" s="200">
        <v>24400</v>
      </c>
      <c r="I382" s="199" t="s">
        <v>20</v>
      </c>
      <c r="J382" s="199" t="s">
        <v>415</v>
      </c>
      <c r="K382" s="201">
        <v>45432</v>
      </c>
      <c r="L382" s="199" t="s">
        <v>3319</v>
      </c>
      <c r="M382" s="199" t="s">
        <v>3320</v>
      </c>
    </row>
    <row r="383" spans="1:13" ht="114">
      <c r="A383" s="199">
        <v>382</v>
      </c>
      <c r="B383" s="199" t="s">
        <v>3731</v>
      </c>
      <c r="C383" s="199" t="s">
        <v>34</v>
      </c>
      <c r="D383" s="199" t="s">
        <v>35</v>
      </c>
      <c r="E383" s="199">
        <v>50</v>
      </c>
      <c r="F383" s="199" t="s">
        <v>591</v>
      </c>
      <c r="G383" s="199" t="s">
        <v>3729</v>
      </c>
      <c r="H383" s="200">
        <v>689.5</v>
      </c>
      <c r="I383" s="199" t="s">
        <v>20</v>
      </c>
      <c r="J383" s="199" t="s">
        <v>415</v>
      </c>
      <c r="K383" s="201">
        <v>45432</v>
      </c>
      <c r="L383" s="199" t="s">
        <v>3319</v>
      </c>
      <c r="M383" s="199" t="s">
        <v>3320</v>
      </c>
    </row>
    <row r="384" spans="1:13" ht="99.75">
      <c r="A384" s="199">
        <v>383</v>
      </c>
      <c r="B384" s="199" t="s">
        <v>3732</v>
      </c>
      <c r="C384" s="199" t="s">
        <v>34</v>
      </c>
      <c r="D384" s="199" t="s">
        <v>35</v>
      </c>
      <c r="E384" s="199">
        <v>50</v>
      </c>
      <c r="F384" s="199" t="s">
        <v>591</v>
      </c>
      <c r="G384" s="199" t="s">
        <v>3729</v>
      </c>
      <c r="H384" s="200">
        <v>603.5</v>
      </c>
      <c r="I384" s="199" t="s">
        <v>20</v>
      </c>
      <c r="J384" s="199" t="s">
        <v>415</v>
      </c>
      <c r="K384" s="201">
        <v>45432</v>
      </c>
      <c r="L384" s="199" t="s">
        <v>3319</v>
      </c>
      <c r="M384" s="199" t="s">
        <v>3320</v>
      </c>
    </row>
    <row r="385" spans="1:13" ht="99.75">
      <c r="A385" s="199">
        <v>384</v>
      </c>
      <c r="B385" s="199" t="s">
        <v>3733</v>
      </c>
      <c r="C385" s="199" t="s">
        <v>34</v>
      </c>
      <c r="D385" s="199" t="s">
        <v>35</v>
      </c>
      <c r="E385" s="199">
        <v>5000</v>
      </c>
      <c r="F385" s="199" t="s">
        <v>591</v>
      </c>
      <c r="G385" s="199" t="s">
        <v>3729</v>
      </c>
      <c r="H385" s="200">
        <v>45300</v>
      </c>
      <c r="I385" s="199" t="s">
        <v>20</v>
      </c>
      <c r="J385" s="199" t="s">
        <v>415</v>
      </c>
      <c r="K385" s="201">
        <v>45432</v>
      </c>
      <c r="L385" s="199" t="s">
        <v>3319</v>
      </c>
      <c r="M385" s="199" t="s">
        <v>3320</v>
      </c>
    </row>
    <row r="386" spans="1:13" ht="114">
      <c r="A386" s="199">
        <v>385</v>
      </c>
      <c r="B386" s="199" t="s">
        <v>3734</v>
      </c>
      <c r="C386" s="199" t="s">
        <v>34</v>
      </c>
      <c r="D386" s="199" t="s">
        <v>35</v>
      </c>
      <c r="E386" s="199">
        <v>5000</v>
      </c>
      <c r="F386" s="199" t="s">
        <v>591</v>
      </c>
      <c r="G386" s="199" t="s">
        <v>3729</v>
      </c>
      <c r="H386" s="200">
        <v>33750</v>
      </c>
      <c r="I386" s="199" t="s">
        <v>20</v>
      </c>
      <c r="J386" s="199" t="s">
        <v>415</v>
      </c>
      <c r="K386" s="201">
        <v>45432</v>
      </c>
      <c r="L386" s="199" t="s">
        <v>3319</v>
      </c>
      <c r="M386" s="199" t="s">
        <v>3320</v>
      </c>
    </row>
    <row r="387" spans="1:13" ht="114">
      <c r="A387" s="199">
        <v>386</v>
      </c>
      <c r="B387" s="199" t="s">
        <v>3735</v>
      </c>
      <c r="C387" s="199" t="s">
        <v>34</v>
      </c>
      <c r="D387" s="199" t="s">
        <v>35</v>
      </c>
      <c r="E387" s="199">
        <v>200</v>
      </c>
      <c r="F387" s="199" t="s">
        <v>8</v>
      </c>
      <c r="G387" s="199" t="s">
        <v>3729</v>
      </c>
      <c r="H387" s="200">
        <v>3128</v>
      </c>
      <c r="I387" s="199" t="s">
        <v>20</v>
      </c>
      <c r="J387" s="199" t="s">
        <v>415</v>
      </c>
      <c r="K387" s="201">
        <v>45432</v>
      </c>
      <c r="L387" s="199" t="s">
        <v>3319</v>
      </c>
      <c r="M387" s="199" t="s">
        <v>3320</v>
      </c>
    </row>
    <row r="388" spans="1:13" ht="99.75">
      <c r="A388" s="199">
        <v>387</v>
      </c>
      <c r="B388" s="199" t="s">
        <v>3736</v>
      </c>
      <c r="C388" s="199" t="s">
        <v>34</v>
      </c>
      <c r="D388" s="199" t="s">
        <v>35</v>
      </c>
      <c r="E388" s="199">
        <v>200</v>
      </c>
      <c r="F388" s="199" t="s">
        <v>8</v>
      </c>
      <c r="G388" s="199" t="s">
        <v>3729</v>
      </c>
      <c r="H388" s="200">
        <v>2770</v>
      </c>
      <c r="I388" s="199" t="s">
        <v>20</v>
      </c>
      <c r="J388" s="199" t="s">
        <v>415</v>
      </c>
      <c r="K388" s="201">
        <v>45432</v>
      </c>
      <c r="L388" s="199" t="s">
        <v>3319</v>
      </c>
      <c r="M388" s="199" t="s">
        <v>3320</v>
      </c>
    </row>
    <row r="389" spans="1:13" ht="99.75">
      <c r="A389" s="199">
        <v>388</v>
      </c>
      <c r="B389" s="199" t="s">
        <v>3737</v>
      </c>
      <c r="C389" s="199" t="s">
        <v>34</v>
      </c>
      <c r="D389" s="199" t="s">
        <v>35</v>
      </c>
      <c r="E389" s="199">
        <v>200</v>
      </c>
      <c r="F389" s="199" t="s">
        <v>8</v>
      </c>
      <c r="G389" s="199" t="s">
        <v>3729</v>
      </c>
      <c r="H389" s="200">
        <v>2724</v>
      </c>
      <c r="I389" s="199" t="s">
        <v>20</v>
      </c>
      <c r="J389" s="199" t="s">
        <v>415</v>
      </c>
      <c r="K389" s="201">
        <v>45432</v>
      </c>
      <c r="L389" s="199" t="s">
        <v>3319</v>
      </c>
      <c r="M389" s="199" t="s">
        <v>3320</v>
      </c>
    </row>
    <row r="390" spans="1:13" ht="99.75">
      <c r="A390" s="199">
        <v>389</v>
      </c>
      <c r="B390" s="199" t="s">
        <v>3738</v>
      </c>
      <c r="C390" s="199" t="s">
        <v>34</v>
      </c>
      <c r="D390" s="199" t="s">
        <v>35</v>
      </c>
      <c r="E390" s="199">
        <v>200</v>
      </c>
      <c r="F390" s="199" t="s">
        <v>8</v>
      </c>
      <c r="G390" s="199" t="s">
        <v>3729</v>
      </c>
      <c r="H390" s="200">
        <v>2738</v>
      </c>
      <c r="I390" s="199" t="s">
        <v>20</v>
      </c>
      <c r="J390" s="199" t="s">
        <v>415</v>
      </c>
      <c r="K390" s="201">
        <v>45432</v>
      </c>
      <c r="L390" s="199" t="s">
        <v>3319</v>
      </c>
      <c r="M390" s="199" t="s">
        <v>3320</v>
      </c>
    </row>
    <row r="391" spans="1:13" ht="85.5">
      <c r="A391" s="199">
        <v>390</v>
      </c>
      <c r="B391" s="199" t="s">
        <v>3739</v>
      </c>
      <c r="C391" s="199" t="s">
        <v>34</v>
      </c>
      <c r="D391" s="199" t="s">
        <v>35</v>
      </c>
      <c r="E391" s="199">
        <v>4000</v>
      </c>
      <c r="F391" s="199" t="s">
        <v>8</v>
      </c>
      <c r="G391" s="199" t="s">
        <v>3729</v>
      </c>
      <c r="H391" s="200">
        <v>13200</v>
      </c>
      <c r="I391" s="199" t="s">
        <v>20</v>
      </c>
      <c r="J391" s="199" t="s">
        <v>415</v>
      </c>
      <c r="K391" s="201">
        <v>45432</v>
      </c>
      <c r="L391" s="199" t="s">
        <v>3319</v>
      </c>
      <c r="M391" s="199" t="s">
        <v>3320</v>
      </c>
    </row>
    <row r="392" spans="1:13" ht="85.5">
      <c r="A392" s="199">
        <v>391</v>
      </c>
      <c r="B392" s="199" t="s">
        <v>3740</v>
      </c>
      <c r="C392" s="199" t="s">
        <v>34</v>
      </c>
      <c r="D392" s="199" t="s">
        <v>35</v>
      </c>
      <c r="E392" s="199">
        <v>40</v>
      </c>
      <c r="F392" s="199" t="s">
        <v>255</v>
      </c>
      <c r="G392" s="199" t="s">
        <v>3729</v>
      </c>
      <c r="H392" s="200">
        <v>2301.1999999999998</v>
      </c>
      <c r="I392" s="199" t="s">
        <v>20</v>
      </c>
      <c r="J392" s="199" t="s">
        <v>415</v>
      </c>
      <c r="K392" s="201">
        <v>45432</v>
      </c>
      <c r="L392" s="199" t="s">
        <v>3319</v>
      </c>
      <c r="M392" s="199" t="s">
        <v>3320</v>
      </c>
    </row>
    <row r="393" spans="1:13" ht="85.5">
      <c r="A393" s="199">
        <v>392</v>
      </c>
      <c r="B393" s="199" t="s">
        <v>3741</v>
      </c>
      <c r="C393" s="199" t="s">
        <v>34</v>
      </c>
      <c r="D393" s="199" t="s">
        <v>35</v>
      </c>
      <c r="E393" s="199">
        <v>250</v>
      </c>
      <c r="F393" s="199" t="s">
        <v>591</v>
      </c>
      <c r="G393" s="199" t="s">
        <v>3729</v>
      </c>
      <c r="H393" s="200">
        <v>2825</v>
      </c>
      <c r="I393" s="199" t="s">
        <v>20</v>
      </c>
      <c r="J393" s="199" t="s">
        <v>415</v>
      </c>
      <c r="K393" s="201">
        <v>45432</v>
      </c>
      <c r="L393" s="199" t="s">
        <v>3319</v>
      </c>
      <c r="M393" s="199" t="s">
        <v>3320</v>
      </c>
    </row>
    <row r="394" spans="1:13" ht="142.5">
      <c r="A394" s="199">
        <v>393</v>
      </c>
      <c r="B394" s="199" t="s">
        <v>3742</v>
      </c>
      <c r="C394" s="199" t="s">
        <v>34</v>
      </c>
      <c r="D394" s="199" t="s">
        <v>35</v>
      </c>
      <c r="E394" s="199">
        <v>80</v>
      </c>
      <c r="F394" s="199" t="s">
        <v>255</v>
      </c>
      <c r="G394" s="199" t="s">
        <v>3729</v>
      </c>
      <c r="H394" s="200">
        <v>4900</v>
      </c>
      <c r="I394" s="199" t="s">
        <v>20</v>
      </c>
      <c r="J394" s="199" t="s">
        <v>415</v>
      </c>
      <c r="K394" s="201">
        <v>45432</v>
      </c>
      <c r="L394" s="199" t="s">
        <v>3319</v>
      </c>
      <c r="M394" s="199" t="s">
        <v>3320</v>
      </c>
    </row>
    <row r="395" spans="1:13" ht="99.75">
      <c r="A395" s="199">
        <v>394</v>
      </c>
      <c r="B395" s="199" t="s">
        <v>3743</v>
      </c>
      <c r="C395" s="199" t="s">
        <v>34</v>
      </c>
      <c r="D395" s="199" t="s">
        <v>35</v>
      </c>
      <c r="E395" s="199">
        <v>3000</v>
      </c>
      <c r="F395" s="199" t="s">
        <v>591</v>
      </c>
      <c r="G395" s="199" t="s">
        <v>3729</v>
      </c>
      <c r="H395" s="200">
        <v>13500</v>
      </c>
      <c r="I395" s="199" t="s">
        <v>20</v>
      </c>
      <c r="J395" s="199" t="s">
        <v>415</v>
      </c>
      <c r="K395" s="201">
        <v>45432</v>
      </c>
      <c r="L395" s="199" t="s">
        <v>3319</v>
      </c>
      <c r="M395" s="199" t="s">
        <v>3320</v>
      </c>
    </row>
    <row r="396" spans="1:13" ht="85.5">
      <c r="A396" s="199">
        <v>395</v>
      </c>
      <c r="B396" s="199" t="s">
        <v>3744</v>
      </c>
      <c r="C396" s="199" t="s">
        <v>34</v>
      </c>
      <c r="D396" s="199" t="s">
        <v>35</v>
      </c>
      <c r="E396" s="199">
        <v>10</v>
      </c>
      <c r="F396" s="199" t="s">
        <v>255</v>
      </c>
      <c r="G396" s="199" t="s">
        <v>3729</v>
      </c>
      <c r="H396" s="200">
        <v>470.5</v>
      </c>
      <c r="I396" s="199" t="s">
        <v>20</v>
      </c>
      <c r="J396" s="199" t="s">
        <v>415</v>
      </c>
      <c r="K396" s="201">
        <v>45432</v>
      </c>
      <c r="L396" s="199" t="s">
        <v>3319</v>
      </c>
      <c r="M396" s="199" t="s">
        <v>3320</v>
      </c>
    </row>
    <row r="397" spans="1:13" ht="85.5">
      <c r="A397" s="199">
        <v>396</v>
      </c>
      <c r="B397" s="199" t="s">
        <v>3745</v>
      </c>
      <c r="C397" s="199" t="s">
        <v>34</v>
      </c>
      <c r="D397" s="199" t="s">
        <v>35</v>
      </c>
      <c r="E397" s="199">
        <v>10</v>
      </c>
      <c r="F397" s="199" t="s">
        <v>255</v>
      </c>
      <c r="G397" s="199" t="s">
        <v>3729</v>
      </c>
      <c r="H397" s="200">
        <v>559.29999999999995</v>
      </c>
      <c r="I397" s="199" t="s">
        <v>20</v>
      </c>
      <c r="J397" s="199" t="s">
        <v>415</v>
      </c>
      <c r="K397" s="201">
        <v>45432</v>
      </c>
      <c r="L397" s="199" t="s">
        <v>3319</v>
      </c>
      <c r="M397" s="199" t="s">
        <v>3320</v>
      </c>
    </row>
    <row r="398" spans="1:13" ht="128.25">
      <c r="A398" s="199">
        <v>397</v>
      </c>
      <c r="B398" s="199" t="s">
        <v>3746</v>
      </c>
      <c r="C398" s="199" t="s">
        <v>34</v>
      </c>
      <c r="D398" s="199" t="s">
        <v>35</v>
      </c>
      <c r="E398" s="199">
        <v>600</v>
      </c>
      <c r="F398" s="199" t="s">
        <v>8</v>
      </c>
      <c r="G398" s="199" t="s">
        <v>3729</v>
      </c>
      <c r="H398" s="200">
        <v>3450</v>
      </c>
      <c r="I398" s="199" t="s">
        <v>20</v>
      </c>
      <c r="J398" s="199" t="s">
        <v>415</v>
      </c>
      <c r="K398" s="201">
        <v>45432</v>
      </c>
      <c r="L398" s="199" t="s">
        <v>3319</v>
      </c>
      <c r="M398" s="199" t="s">
        <v>3320</v>
      </c>
    </row>
    <row r="399" spans="1:13" ht="128.25">
      <c r="A399" s="199">
        <v>398</v>
      </c>
      <c r="B399" s="199" t="s">
        <v>3747</v>
      </c>
      <c r="C399" s="199" t="s">
        <v>34</v>
      </c>
      <c r="D399" s="199" t="s">
        <v>35</v>
      </c>
      <c r="E399" s="199">
        <v>600</v>
      </c>
      <c r="F399" s="199" t="s">
        <v>8</v>
      </c>
      <c r="G399" s="199" t="s">
        <v>3729</v>
      </c>
      <c r="H399" s="200">
        <v>3108</v>
      </c>
      <c r="I399" s="199" t="s">
        <v>20</v>
      </c>
      <c r="J399" s="199" t="s">
        <v>415</v>
      </c>
      <c r="K399" s="201">
        <v>45432</v>
      </c>
      <c r="L399" s="199" t="s">
        <v>3319</v>
      </c>
      <c r="M399" s="199" t="s">
        <v>3320</v>
      </c>
    </row>
    <row r="400" spans="1:13" ht="99.75">
      <c r="A400" s="199">
        <v>399</v>
      </c>
      <c r="B400" s="199" t="s">
        <v>3748</v>
      </c>
      <c r="C400" s="199" t="s">
        <v>34</v>
      </c>
      <c r="D400" s="199" t="s">
        <v>35</v>
      </c>
      <c r="E400" s="199">
        <v>60</v>
      </c>
      <c r="F400" s="199" t="s">
        <v>8</v>
      </c>
      <c r="G400" s="199" t="s">
        <v>3729</v>
      </c>
      <c r="H400" s="200">
        <v>690.6</v>
      </c>
      <c r="I400" s="199" t="s">
        <v>20</v>
      </c>
      <c r="J400" s="199" t="s">
        <v>415</v>
      </c>
      <c r="K400" s="201">
        <v>45432</v>
      </c>
      <c r="L400" s="199" t="s">
        <v>3319</v>
      </c>
      <c r="M400" s="199" t="s">
        <v>3320</v>
      </c>
    </row>
    <row r="401" spans="1:13" ht="85.5">
      <c r="A401" s="199">
        <v>400</v>
      </c>
      <c r="B401" s="199" t="s">
        <v>3749</v>
      </c>
      <c r="C401" s="199" t="s">
        <v>34</v>
      </c>
      <c r="D401" s="199" t="s">
        <v>35</v>
      </c>
      <c r="E401" s="199">
        <v>100</v>
      </c>
      <c r="F401" s="199" t="s">
        <v>3750</v>
      </c>
      <c r="G401" s="199" t="s">
        <v>3729</v>
      </c>
      <c r="H401" s="200">
        <v>10255</v>
      </c>
      <c r="I401" s="199" t="s">
        <v>20</v>
      </c>
      <c r="J401" s="199" t="s">
        <v>415</v>
      </c>
      <c r="K401" s="201">
        <v>45432</v>
      </c>
      <c r="L401" s="199" t="s">
        <v>3319</v>
      </c>
      <c r="M401" s="199" t="s">
        <v>3320</v>
      </c>
    </row>
    <row r="402" spans="1:13" ht="85.5">
      <c r="A402" s="199">
        <v>401</v>
      </c>
      <c r="B402" s="199" t="s">
        <v>3751</v>
      </c>
      <c r="C402" s="199" t="s">
        <v>34</v>
      </c>
      <c r="D402" s="199" t="s">
        <v>35</v>
      </c>
      <c r="E402" s="199">
        <v>500</v>
      </c>
      <c r="F402" s="199" t="s">
        <v>8</v>
      </c>
      <c r="G402" s="199" t="s">
        <v>3729</v>
      </c>
      <c r="H402" s="200">
        <v>6500</v>
      </c>
      <c r="I402" s="199" t="s">
        <v>20</v>
      </c>
      <c r="J402" s="199" t="s">
        <v>415</v>
      </c>
      <c r="K402" s="201">
        <v>45432</v>
      </c>
      <c r="L402" s="199" t="s">
        <v>3319</v>
      </c>
      <c r="M402" s="199" t="s">
        <v>3320</v>
      </c>
    </row>
    <row r="403" spans="1:13" ht="213.75">
      <c r="A403" s="199">
        <v>402</v>
      </c>
      <c r="B403" s="199" t="s">
        <v>3752</v>
      </c>
      <c r="C403" s="199" t="s">
        <v>34</v>
      </c>
      <c r="D403" s="199" t="s">
        <v>35</v>
      </c>
      <c r="E403" s="199">
        <v>1000</v>
      </c>
      <c r="F403" s="199" t="s">
        <v>8</v>
      </c>
      <c r="G403" s="199" t="s">
        <v>3729</v>
      </c>
      <c r="H403" s="200">
        <v>9450</v>
      </c>
      <c r="I403" s="199" t="s">
        <v>20</v>
      </c>
      <c r="J403" s="199" t="s">
        <v>415</v>
      </c>
      <c r="K403" s="201">
        <v>45432</v>
      </c>
      <c r="L403" s="199" t="s">
        <v>3319</v>
      </c>
      <c r="M403" s="199" t="s">
        <v>3320</v>
      </c>
    </row>
    <row r="404" spans="1:13" ht="114">
      <c r="A404" s="199">
        <v>403</v>
      </c>
      <c r="B404" s="199" t="s">
        <v>3753</v>
      </c>
      <c r="C404" s="199" t="s">
        <v>34</v>
      </c>
      <c r="D404" s="199" t="s">
        <v>35</v>
      </c>
      <c r="E404" s="199">
        <v>250</v>
      </c>
      <c r="F404" s="199" t="s">
        <v>8</v>
      </c>
      <c r="G404" s="199" t="s">
        <v>3729</v>
      </c>
      <c r="H404" s="200">
        <v>3515</v>
      </c>
      <c r="I404" s="199" t="s">
        <v>20</v>
      </c>
      <c r="J404" s="199" t="s">
        <v>415</v>
      </c>
      <c r="K404" s="201">
        <v>45432</v>
      </c>
      <c r="L404" s="199" t="s">
        <v>3319</v>
      </c>
      <c r="M404" s="199" t="s">
        <v>3320</v>
      </c>
    </row>
    <row r="405" spans="1:13" ht="99.75">
      <c r="A405" s="199">
        <v>404</v>
      </c>
      <c r="B405" s="199" t="s">
        <v>3754</v>
      </c>
      <c r="C405" s="199" t="s">
        <v>34</v>
      </c>
      <c r="D405" s="199" t="s">
        <v>35</v>
      </c>
      <c r="E405" s="199">
        <v>250</v>
      </c>
      <c r="F405" s="199" t="s">
        <v>8</v>
      </c>
      <c r="G405" s="199" t="s">
        <v>3729</v>
      </c>
      <c r="H405" s="200">
        <v>2247.5</v>
      </c>
      <c r="I405" s="199" t="s">
        <v>20</v>
      </c>
      <c r="J405" s="199" t="s">
        <v>415</v>
      </c>
      <c r="K405" s="201">
        <v>45432</v>
      </c>
      <c r="L405" s="199" t="s">
        <v>3319</v>
      </c>
      <c r="M405" s="199" t="s">
        <v>3320</v>
      </c>
    </row>
    <row r="406" spans="1:13" ht="85.5">
      <c r="A406" s="199">
        <v>405</v>
      </c>
      <c r="B406" s="199" t="s">
        <v>3755</v>
      </c>
      <c r="C406" s="199" t="s">
        <v>34</v>
      </c>
      <c r="D406" s="199" t="s">
        <v>35</v>
      </c>
      <c r="E406" s="199">
        <v>5400</v>
      </c>
      <c r="F406" s="199" t="s">
        <v>8</v>
      </c>
      <c r="G406" s="199" t="s">
        <v>3729</v>
      </c>
      <c r="H406" s="200">
        <v>22248</v>
      </c>
      <c r="I406" s="199" t="s">
        <v>20</v>
      </c>
      <c r="J406" s="199" t="s">
        <v>415</v>
      </c>
      <c r="K406" s="201">
        <v>45432</v>
      </c>
      <c r="L406" s="199" t="s">
        <v>3319</v>
      </c>
      <c r="M406" s="199" t="s">
        <v>3320</v>
      </c>
    </row>
    <row r="407" spans="1:13" ht="85.5">
      <c r="A407" s="199">
        <v>406</v>
      </c>
      <c r="B407" s="199" t="s">
        <v>3756</v>
      </c>
      <c r="C407" s="199" t="s">
        <v>34</v>
      </c>
      <c r="D407" s="199" t="s">
        <v>35</v>
      </c>
      <c r="E407" s="199">
        <v>250</v>
      </c>
      <c r="F407" s="199" t="s">
        <v>591</v>
      </c>
      <c r="G407" s="199" t="s">
        <v>3729</v>
      </c>
      <c r="H407" s="200">
        <v>3035</v>
      </c>
      <c r="I407" s="199" t="s">
        <v>20</v>
      </c>
      <c r="J407" s="199" t="s">
        <v>415</v>
      </c>
      <c r="K407" s="201">
        <v>45432</v>
      </c>
      <c r="L407" s="199" t="s">
        <v>3319</v>
      </c>
      <c r="M407" s="199" t="s">
        <v>3320</v>
      </c>
    </row>
    <row r="408" spans="1:13" ht="85.5">
      <c r="A408" s="199">
        <v>407</v>
      </c>
      <c r="B408" s="199" t="s">
        <v>3757</v>
      </c>
      <c r="C408" s="199" t="s">
        <v>34</v>
      </c>
      <c r="D408" s="199" t="s">
        <v>35</v>
      </c>
      <c r="E408" s="199">
        <v>4000</v>
      </c>
      <c r="F408" s="199" t="s">
        <v>8</v>
      </c>
      <c r="G408" s="199" t="s">
        <v>3758</v>
      </c>
      <c r="H408" s="200">
        <v>13800</v>
      </c>
      <c r="I408" s="199" t="s">
        <v>20</v>
      </c>
      <c r="J408" s="199" t="s">
        <v>415</v>
      </c>
      <c r="K408" s="201">
        <v>45505</v>
      </c>
      <c r="L408" s="199" t="s">
        <v>3319</v>
      </c>
      <c r="M408" s="199" t="s">
        <v>3320</v>
      </c>
    </row>
    <row r="409" spans="1:13" ht="114">
      <c r="A409" s="199">
        <v>408</v>
      </c>
      <c r="B409" s="199" t="s">
        <v>3759</v>
      </c>
      <c r="C409" s="199" t="s">
        <v>34</v>
      </c>
      <c r="D409" s="199" t="s">
        <v>35</v>
      </c>
      <c r="E409" s="199">
        <v>3000</v>
      </c>
      <c r="F409" s="199" t="s">
        <v>591</v>
      </c>
      <c r="G409" s="199" t="s">
        <v>3758</v>
      </c>
      <c r="H409" s="200">
        <v>14730</v>
      </c>
      <c r="I409" s="199" t="s">
        <v>20</v>
      </c>
      <c r="J409" s="199" t="s">
        <v>415</v>
      </c>
      <c r="K409" s="201">
        <v>45505</v>
      </c>
      <c r="L409" s="199" t="s">
        <v>3319</v>
      </c>
      <c r="M409" s="199" t="s">
        <v>3320</v>
      </c>
    </row>
    <row r="410" spans="1:13" ht="114">
      <c r="A410" s="199">
        <v>409</v>
      </c>
      <c r="B410" s="199" t="s">
        <v>3734</v>
      </c>
      <c r="C410" s="199" t="s">
        <v>34</v>
      </c>
      <c r="D410" s="199" t="s">
        <v>35</v>
      </c>
      <c r="E410" s="199">
        <v>1000</v>
      </c>
      <c r="F410" s="199" t="s">
        <v>591</v>
      </c>
      <c r="G410" s="199" t="s">
        <v>3758</v>
      </c>
      <c r="H410" s="200">
        <v>8660</v>
      </c>
      <c r="I410" s="199" t="s">
        <v>20</v>
      </c>
      <c r="J410" s="199" t="s">
        <v>415</v>
      </c>
      <c r="K410" s="201">
        <v>45505</v>
      </c>
      <c r="L410" s="199" t="s">
        <v>3319</v>
      </c>
      <c r="M410" s="199" t="s">
        <v>3320</v>
      </c>
    </row>
    <row r="411" spans="1:13" ht="142.5">
      <c r="A411" s="199">
        <v>410</v>
      </c>
      <c r="B411" s="199" t="s">
        <v>3760</v>
      </c>
      <c r="C411" s="199" t="s">
        <v>34</v>
      </c>
      <c r="D411" s="199" t="s">
        <v>35</v>
      </c>
      <c r="E411" s="199">
        <v>200</v>
      </c>
      <c r="F411" s="199" t="s">
        <v>8</v>
      </c>
      <c r="G411" s="199" t="s">
        <v>3758</v>
      </c>
      <c r="H411" s="200">
        <v>2510</v>
      </c>
      <c r="I411" s="199" t="s">
        <v>20</v>
      </c>
      <c r="J411" s="199" t="s">
        <v>415</v>
      </c>
      <c r="K411" s="201">
        <v>45505</v>
      </c>
      <c r="L411" s="199" t="s">
        <v>3319</v>
      </c>
      <c r="M411" s="199" t="s">
        <v>3320</v>
      </c>
    </row>
    <row r="412" spans="1:13" ht="128.25">
      <c r="A412" s="199">
        <v>411</v>
      </c>
      <c r="B412" s="199" t="s">
        <v>3761</v>
      </c>
      <c r="C412" s="199" t="s">
        <v>34</v>
      </c>
      <c r="D412" s="199" t="s">
        <v>35</v>
      </c>
      <c r="E412" s="199">
        <v>200</v>
      </c>
      <c r="F412" s="199" t="s">
        <v>8</v>
      </c>
      <c r="G412" s="199" t="s">
        <v>3758</v>
      </c>
      <c r="H412" s="200">
        <v>2510</v>
      </c>
      <c r="I412" s="199" t="s">
        <v>20</v>
      </c>
      <c r="J412" s="199" t="s">
        <v>415</v>
      </c>
      <c r="K412" s="201">
        <v>45505</v>
      </c>
      <c r="L412" s="199" t="s">
        <v>3319</v>
      </c>
      <c r="M412" s="199" t="s">
        <v>3320</v>
      </c>
    </row>
    <row r="413" spans="1:13" ht="128.25">
      <c r="A413" s="199">
        <v>412</v>
      </c>
      <c r="B413" s="199" t="s">
        <v>3762</v>
      </c>
      <c r="C413" s="199" t="s">
        <v>34</v>
      </c>
      <c r="D413" s="199" t="s">
        <v>35</v>
      </c>
      <c r="E413" s="199">
        <v>200</v>
      </c>
      <c r="F413" s="199" t="s">
        <v>8</v>
      </c>
      <c r="G413" s="199" t="s">
        <v>3758</v>
      </c>
      <c r="H413" s="200">
        <v>2510</v>
      </c>
      <c r="I413" s="199" t="s">
        <v>20</v>
      </c>
      <c r="J413" s="199" t="s">
        <v>415</v>
      </c>
      <c r="K413" s="201">
        <v>45505</v>
      </c>
      <c r="L413" s="199" t="s">
        <v>3319</v>
      </c>
      <c r="M413" s="199" t="s">
        <v>3320</v>
      </c>
    </row>
    <row r="414" spans="1:13" ht="142.5">
      <c r="A414" s="199">
        <v>413</v>
      </c>
      <c r="B414" s="199" t="s">
        <v>3763</v>
      </c>
      <c r="C414" s="199" t="s">
        <v>34</v>
      </c>
      <c r="D414" s="199" t="s">
        <v>35</v>
      </c>
      <c r="E414" s="199">
        <v>200</v>
      </c>
      <c r="F414" s="199" t="s">
        <v>8</v>
      </c>
      <c r="G414" s="199" t="s">
        <v>3758</v>
      </c>
      <c r="H414" s="200">
        <v>2602</v>
      </c>
      <c r="I414" s="199" t="s">
        <v>20</v>
      </c>
      <c r="J414" s="199" t="s">
        <v>415</v>
      </c>
      <c r="K414" s="201">
        <v>45505</v>
      </c>
      <c r="L414" s="199" t="s">
        <v>3319</v>
      </c>
      <c r="M414" s="199" t="s">
        <v>3320</v>
      </c>
    </row>
    <row r="415" spans="1:13" ht="99.75">
      <c r="A415" s="199">
        <v>414</v>
      </c>
      <c r="B415" s="199" t="s">
        <v>3764</v>
      </c>
      <c r="C415" s="199" t="s">
        <v>34</v>
      </c>
      <c r="D415" s="199" t="s">
        <v>35</v>
      </c>
      <c r="E415" s="199">
        <v>4000</v>
      </c>
      <c r="F415" s="199" t="s">
        <v>8</v>
      </c>
      <c r="G415" s="199" t="s">
        <v>3758</v>
      </c>
      <c r="H415" s="200">
        <v>14200</v>
      </c>
      <c r="I415" s="199" t="s">
        <v>20</v>
      </c>
      <c r="J415" s="199" t="s">
        <v>415</v>
      </c>
      <c r="K415" s="201">
        <v>45505</v>
      </c>
      <c r="L415" s="199" t="s">
        <v>3319</v>
      </c>
      <c r="M415" s="199" t="s">
        <v>3320</v>
      </c>
    </row>
    <row r="416" spans="1:13" ht="85.5">
      <c r="A416" s="199">
        <v>415</v>
      </c>
      <c r="B416" s="199" t="s">
        <v>3765</v>
      </c>
      <c r="C416" s="199" t="s">
        <v>34</v>
      </c>
      <c r="D416" s="199" t="s">
        <v>35</v>
      </c>
      <c r="E416" s="199">
        <v>3000</v>
      </c>
      <c r="F416" s="199" t="s">
        <v>591</v>
      </c>
      <c r="G416" s="199" t="s">
        <v>3758</v>
      </c>
      <c r="H416" s="200">
        <v>6270</v>
      </c>
      <c r="I416" s="199" t="s">
        <v>20</v>
      </c>
      <c r="J416" s="199" t="s">
        <v>415</v>
      </c>
      <c r="K416" s="201">
        <v>45505</v>
      </c>
      <c r="L416" s="199" t="s">
        <v>3319</v>
      </c>
      <c r="M416" s="199" t="s">
        <v>3320</v>
      </c>
    </row>
    <row r="417" spans="1:13" ht="85.5">
      <c r="A417" s="199">
        <v>416</v>
      </c>
      <c r="B417" s="199" t="s">
        <v>3755</v>
      </c>
      <c r="C417" s="199" t="s">
        <v>34</v>
      </c>
      <c r="D417" s="199" t="s">
        <v>35</v>
      </c>
      <c r="E417" s="199">
        <v>4000</v>
      </c>
      <c r="F417" s="199" t="s">
        <v>8</v>
      </c>
      <c r="G417" s="199" t="s">
        <v>3758</v>
      </c>
      <c r="H417" s="200">
        <v>13160</v>
      </c>
      <c r="I417" s="199" t="s">
        <v>20</v>
      </c>
      <c r="J417" s="199" t="s">
        <v>415</v>
      </c>
      <c r="K417" s="201">
        <v>45505</v>
      </c>
      <c r="L417" s="199" t="s">
        <v>3319</v>
      </c>
      <c r="M417" s="199" t="s">
        <v>3320</v>
      </c>
    </row>
    <row r="418" spans="1:13" ht="85.5">
      <c r="A418" s="199">
        <v>417</v>
      </c>
      <c r="B418" s="199" t="s">
        <v>3766</v>
      </c>
      <c r="C418" s="199" t="s">
        <v>34</v>
      </c>
      <c r="D418" s="199" t="s">
        <v>35</v>
      </c>
      <c r="E418" s="199">
        <v>36</v>
      </c>
      <c r="F418" s="199" t="s">
        <v>8</v>
      </c>
      <c r="G418" s="199" t="s">
        <v>3758</v>
      </c>
      <c r="H418" s="200">
        <v>358.56</v>
      </c>
      <c r="I418" s="199" t="s">
        <v>20</v>
      </c>
      <c r="J418" s="199" t="s">
        <v>415</v>
      </c>
      <c r="K418" s="201">
        <v>45505</v>
      </c>
      <c r="L418" s="199" t="s">
        <v>3319</v>
      </c>
      <c r="M418" s="199" t="s">
        <v>3320</v>
      </c>
    </row>
    <row r="419" spans="1:13" ht="85.5">
      <c r="A419" s="199">
        <v>418</v>
      </c>
      <c r="B419" s="199" t="s">
        <v>3767</v>
      </c>
      <c r="C419" s="199" t="s">
        <v>34</v>
      </c>
      <c r="D419" s="199" t="s">
        <v>35</v>
      </c>
      <c r="E419" s="199">
        <v>36</v>
      </c>
      <c r="F419" s="199" t="s">
        <v>8</v>
      </c>
      <c r="G419" s="199" t="s">
        <v>3758</v>
      </c>
      <c r="H419" s="200">
        <v>386.26</v>
      </c>
      <c r="I419" s="199" t="s">
        <v>20</v>
      </c>
      <c r="J419" s="199" t="s">
        <v>415</v>
      </c>
      <c r="K419" s="201">
        <v>45505</v>
      </c>
      <c r="L419" s="199" t="s">
        <v>3319</v>
      </c>
      <c r="M419" s="199" t="s">
        <v>3320</v>
      </c>
    </row>
    <row r="420" spans="1:13" ht="85.5">
      <c r="A420" s="199">
        <v>419</v>
      </c>
      <c r="B420" s="199" t="s">
        <v>3768</v>
      </c>
      <c r="C420" s="199" t="s">
        <v>34</v>
      </c>
      <c r="D420" s="199" t="s">
        <v>35</v>
      </c>
      <c r="E420" s="199">
        <v>5</v>
      </c>
      <c r="F420" s="199" t="s">
        <v>591</v>
      </c>
      <c r="G420" s="199" t="s">
        <v>3758</v>
      </c>
      <c r="H420" s="200">
        <v>144.9</v>
      </c>
      <c r="I420" s="199" t="s">
        <v>20</v>
      </c>
      <c r="J420" s="199" t="s">
        <v>415</v>
      </c>
      <c r="K420" s="201">
        <v>45505</v>
      </c>
      <c r="L420" s="199" t="s">
        <v>3319</v>
      </c>
      <c r="M420" s="199" t="s">
        <v>3320</v>
      </c>
    </row>
    <row r="421" spans="1:13" ht="85.5">
      <c r="A421" s="199">
        <v>420</v>
      </c>
      <c r="B421" s="199" t="s">
        <v>3769</v>
      </c>
      <c r="C421" s="199" t="s">
        <v>34</v>
      </c>
      <c r="D421" s="199" t="s">
        <v>35</v>
      </c>
      <c r="E421" s="199">
        <v>10</v>
      </c>
      <c r="F421" s="199" t="s">
        <v>591</v>
      </c>
      <c r="G421" s="199" t="s">
        <v>3758</v>
      </c>
      <c r="H421" s="200">
        <v>55.8</v>
      </c>
      <c r="I421" s="199" t="s">
        <v>20</v>
      </c>
      <c r="J421" s="199" t="s">
        <v>415</v>
      </c>
      <c r="K421" s="201">
        <v>45505</v>
      </c>
      <c r="L421" s="199" t="s">
        <v>3319</v>
      </c>
      <c r="M421" s="199" t="s">
        <v>3320</v>
      </c>
    </row>
    <row r="422" spans="1:13" ht="85.5">
      <c r="A422" s="199">
        <v>421</v>
      </c>
      <c r="B422" s="199" t="s">
        <v>3770</v>
      </c>
      <c r="C422" s="199" t="s">
        <v>34</v>
      </c>
      <c r="D422" s="199" t="s">
        <v>35</v>
      </c>
      <c r="E422" s="199">
        <v>24</v>
      </c>
      <c r="F422" s="199" t="s">
        <v>3771</v>
      </c>
      <c r="G422" s="199" t="s">
        <v>3758</v>
      </c>
      <c r="H422" s="200">
        <v>244.08</v>
      </c>
      <c r="I422" s="199" t="s">
        <v>20</v>
      </c>
      <c r="J422" s="199" t="s">
        <v>415</v>
      </c>
      <c r="K422" s="201">
        <v>45505</v>
      </c>
      <c r="L422" s="199" t="s">
        <v>3319</v>
      </c>
      <c r="M422" s="199" t="s">
        <v>3320</v>
      </c>
    </row>
    <row r="423" spans="1:13" ht="85.5">
      <c r="A423" s="199">
        <v>422</v>
      </c>
      <c r="B423" s="199" t="s">
        <v>3772</v>
      </c>
      <c r="C423" s="199" t="s">
        <v>34</v>
      </c>
      <c r="D423" s="199" t="s">
        <v>35</v>
      </c>
      <c r="E423" s="199">
        <v>24</v>
      </c>
      <c r="F423" s="199" t="s">
        <v>8</v>
      </c>
      <c r="G423" s="199" t="s">
        <v>3758</v>
      </c>
      <c r="H423" s="200">
        <v>137.52000000000001</v>
      </c>
      <c r="I423" s="199" t="s">
        <v>20</v>
      </c>
      <c r="J423" s="199" t="s">
        <v>415</v>
      </c>
      <c r="K423" s="201">
        <v>45505</v>
      </c>
      <c r="L423" s="199" t="s">
        <v>3319</v>
      </c>
      <c r="M423" s="199" t="s">
        <v>3320</v>
      </c>
    </row>
    <row r="424" spans="1:13" ht="85.5">
      <c r="A424" s="199">
        <v>423</v>
      </c>
      <c r="B424" s="199" t="s">
        <v>3773</v>
      </c>
      <c r="C424" s="199" t="s">
        <v>34</v>
      </c>
      <c r="D424" s="199" t="s">
        <v>35</v>
      </c>
      <c r="E424" s="199">
        <v>60</v>
      </c>
      <c r="F424" s="199" t="s">
        <v>8</v>
      </c>
      <c r="G424" s="199" t="s">
        <v>3758</v>
      </c>
      <c r="H424" s="200">
        <v>508.2</v>
      </c>
      <c r="I424" s="199" t="s">
        <v>20</v>
      </c>
      <c r="J424" s="199" t="s">
        <v>415</v>
      </c>
      <c r="K424" s="201">
        <v>45505</v>
      </c>
      <c r="L424" s="199" t="s">
        <v>3319</v>
      </c>
      <c r="M424" s="199" t="s">
        <v>3320</v>
      </c>
    </row>
    <row r="425" spans="1:13" ht="85.5">
      <c r="A425" s="199">
        <v>424</v>
      </c>
      <c r="B425" s="199" t="s">
        <v>3774</v>
      </c>
      <c r="C425" s="199" t="s">
        <v>34</v>
      </c>
      <c r="D425" s="199" t="s">
        <v>35</v>
      </c>
      <c r="E425" s="199">
        <v>60</v>
      </c>
      <c r="F425" s="199" t="s">
        <v>591</v>
      </c>
      <c r="G425" s="199" t="s">
        <v>3758</v>
      </c>
      <c r="H425" s="200">
        <v>685.8</v>
      </c>
      <c r="I425" s="199" t="s">
        <v>20</v>
      </c>
      <c r="J425" s="199" t="s">
        <v>415</v>
      </c>
      <c r="K425" s="201">
        <v>45505</v>
      </c>
      <c r="L425" s="199" t="s">
        <v>3319</v>
      </c>
      <c r="M425" s="199" t="s">
        <v>3320</v>
      </c>
    </row>
    <row r="426" spans="1:13" ht="85.5">
      <c r="A426" s="199">
        <v>425</v>
      </c>
      <c r="B426" s="199" t="s">
        <v>3775</v>
      </c>
      <c r="C426" s="199" t="s">
        <v>34</v>
      </c>
      <c r="D426" s="199" t="s">
        <v>35</v>
      </c>
      <c r="E426" s="199">
        <v>5</v>
      </c>
      <c r="F426" s="199" t="s">
        <v>8</v>
      </c>
      <c r="G426" s="199" t="s">
        <v>3758</v>
      </c>
      <c r="H426" s="200">
        <v>16.399999999999999</v>
      </c>
      <c r="I426" s="199" t="s">
        <v>20</v>
      </c>
      <c r="J426" s="199" t="s">
        <v>415</v>
      </c>
      <c r="K426" s="201">
        <v>45505</v>
      </c>
      <c r="L426" s="199" t="s">
        <v>3319</v>
      </c>
      <c r="M426" s="199" t="s">
        <v>3320</v>
      </c>
    </row>
    <row r="427" spans="1:13" ht="85.5">
      <c r="A427" s="199">
        <v>426</v>
      </c>
      <c r="B427" s="199" t="s">
        <v>3776</v>
      </c>
      <c r="C427" s="199" t="s">
        <v>34</v>
      </c>
      <c r="D427" s="199" t="s">
        <v>35</v>
      </c>
      <c r="E427" s="199">
        <v>12</v>
      </c>
      <c r="F427" s="199" t="s">
        <v>3771</v>
      </c>
      <c r="G427" s="199" t="s">
        <v>3758</v>
      </c>
      <c r="H427" s="200">
        <v>117.12</v>
      </c>
      <c r="I427" s="199" t="s">
        <v>20</v>
      </c>
      <c r="J427" s="199" t="s">
        <v>415</v>
      </c>
      <c r="K427" s="201">
        <v>45505</v>
      </c>
      <c r="L427" s="199" t="s">
        <v>3319</v>
      </c>
      <c r="M427" s="199" t="s">
        <v>3320</v>
      </c>
    </row>
    <row r="428" spans="1:13" ht="85.5">
      <c r="A428" s="199">
        <v>427</v>
      </c>
      <c r="B428" s="199" t="s">
        <v>3777</v>
      </c>
      <c r="C428" s="199" t="s">
        <v>34</v>
      </c>
      <c r="D428" s="199" t="s">
        <v>35</v>
      </c>
      <c r="E428" s="199">
        <v>900</v>
      </c>
      <c r="F428" s="199" t="s">
        <v>8</v>
      </c>
      <c r="G428" s="199" t="s">
        <v>3758</v>
      </c>
      <c r="H428" s="200">
        <v>810</v>
      </c>
      <c r="I428" s="199" t="s">
        <v>20</v>
      </c>
      <c r="J428" s="199" t="s">
        <v>415</v>
      </c>
      <c r="K428" s="201">
        <v>45505</v>
      </c>
      <c r="L428" s="199" t="s">
        <v>3319</v>
      </c>
      <c r="M428" s="199" t="s">
        <v>3320</v>
      </c>
    </row>
    <row r="429" spans="1:13" ht="85.5">
      <c r="A429" s="199">
        <v>428</v>
      </c>
      <c r="B429" s="199" t="s">
        <v>3778</v>
      </c>
      <c r="C429" s="199" t="s">
        <v>34</v>
      </c>
      <c r="D429" s="199" t="s">
        <v>35</v>
      </c>
      <c r="E429" s="199">
        <v>60</v>
      </c>
      <c r="F429" s="199" t="s">
        <v>8</v>
      </c>
      <c r="G429" s="199" t="s">
        <v>3758</v>
      </c>
      <c r="H429" s="200">
        <v>249</v>
      </c>
      <c r="I429" s="199" t="s">
        <v>20</v>
      </c>
      <c r="J429" s="199" t="s">
        <v>415</v>
      </c>
      <c r="K429" s="201">
        <v>45505</v>
      </c>
      <c r="L429" s="199" t="s">
        <v>3319</v>
      </c>
      <c r="M429" s="199" t="s">
        <v>3320</v>
      </c>
    </row>
    <row r="430" spans="1:13" ht="85.5">
      <c r="A430" s="199">
        <v>429</v>
      </c>
      <c r="B430" s="199" t="s">
        <v>3779</v>
      </c>
      <c r="C430" s="199" t="s">
        <v>34</v>
      </c>
      <c r="D430" s="199" t="s">
        <v>35</v>
      </c>
      <c r="E430" s="199">
        <v>9</v>
      </c>
      <c r="F430" s="199" t="s">
        <v>591</v>
      </c>
      <c r="G430" s="199" t="s">
        <v>3758</v>
      </c>
      <c r="H430" s="200">
        <v>736.02</v>
      </c>
      <c r="I430" s="199" t="s">
        <v>20</v>
      </c>
      <c r="J430" s="199" t="s">
        <v>415</v>
      </c>
      <c r="K430" s="201">
        <v>45505</v>
      </c>
      <c r="L430" s="199" t="s">
        <v>3319</v>
      </c>
      <c r="M430" s="199" t="s">
        <v>3320</v>
      </c>
    </row>
    <row r="431" spans="1:13" ht="114">
      <c r="A431" s="199">
        <v>430</v>
      </c>
      <c r="B431" s="199" t="s">
        <v>3780</v>
      </c>
      <c r="C431" s="199" t="s">
        <v>34</v>
      </c>
      <c r="D431" s="199" t="s">
        <v>35</v>
      </c>
      <c r="E431" s="199">
        <v>15</v>
      </c>
      <c r="F431" s="199" t="s">
        <v>560</v>
      </c>
      <c r="G431" s="199" t="s">
        <v>3758</v>
      </c>
      <c r="H431" s="200">
        <v>579</v>
      </c>
      <c r="I431" s="199" t="s">
        <v>20</v>
      </c>
      <c r="J431" s="199" t="s">
        <v>415</v>
      </c>
      <c r="K431" s="201">
        <v>45505</v>
      </c>
      <c r="L431" s="199" t="s">
        <v>3319</v>
      </c>
      <c r="M431" s="199" t="s">
        <v>3320</v>
      </c>
    </row>
    <row r="432" spans="1:13" ht="85.5">
      <c r="A432" s="199">
        <v>431</v>
      </c>
      <c r="B432" s="199" t="s">
        <v>3781</v>
      </c>
      <c r="C432" s="199" t="s">
        <v>34</v>
      </c>
      <c r="D432" s="199" t="s">
        <v>35</v>
      </c>
      <c r="E432" s="199">
        <v>3</v>
      </c>
      <c r="F432" s="199" t="s">
        <v>591</v>
      </c>
      <c r="G432" s="199" t="s">
        <v>3758</v>
      </c>
      <c r="H432" s="200">
        <v>97.2</v>
      </c>
      <c r="I432" s="199" t="s">
        <v>20</v>
      </c>
      <c r="J432" s="199" t="s">
        <v>415</v>
      </c>
      <c r="K432" s="201">
        <v>45505</v>
      </c>
      <c r="L432" s="199" t="s">
        <v>3319</v>
      </c>
      <c r="M432" s="199" t="s">
        <v>3320</v>
      </c>
    </row>
    <row r="433" spans="1:13" ht="85.5">
      <c r="A433" s="199">
        <v>432</v>
      </c>
      <c r="B433" s="199" t="s">
        <v>3782</v>
      </c>
      <c r="C433" s="199" t="s">
        <v>34</v>
      </c>
      <c r="D433" s="199" t="s">
        <v>35</v>
      </c>
      <c r="E433" s="199">
        <v>18</v>
      </c>
      <c r="F433" s="199" t="s">
        <v>591</v>
      </c>
      <c r="G433" s="199" t="s">
        <v>3758</v>
      </c>
      <c r="H433" s="200">
        <v>153.9</v>
      </c>
      <c r="I433" s="199" t="s">
        <v>20</v>
      </c>
      <c r="J433" s="199" t="s">
        <v>415</v>
      </c>
      <c r="K433" s="201">
        <v>45505</v>
      </c>
      <c r="L433" s="199" t="s">
        <v>3319</v>
      </c>
      <c r="M433" s="199" t="s">
        <v>3320</v>
      </c>
    </row>
    <row r="434" spans="1:13" ht="85.5">
      <c r="A434" s="199">
        <v>433</v>
      </c>
      <c r="B434" s="199" t="s">
        <v>3755</v>
      </c>
      <c r="C434" s="199" t="s">
        <v>34</v>
      </c>
      <c r="D434" s="199" t="s">
        <v>35</v>
      </c>
      <c r="E434" s="199">
        <v>2400</v>
      </c>
      <c r="F434" s="199" t="s">
        <v>8</v>
      </c>
      <c r="G434" s="199" t="s">
        <v>3783</v>
      </c>
      <c r="H434" s="200">
        <v>7032</v>
      </c>
      <c r="I434" s="199" t="s">
        <v>20</v>
      </c>
      <c r="J434" s="199" t="s">
        <v>415</v>
      </c>
      <c r="K434" s="201">
        <v>45407</v>
      </c>
      <c r="L434" s="199" t="s">
        <v>3319</v>
      </c>
      <c r="M434" s="199" t="s">
        <v>3320</v>
      </c>
    </row>
    <row r="435" spans="1:13" ht="85.5">
      <c r="A435" s="199">
        <v>434</v>
      </c>
      <c r="B435" s="199" t="s">
        <v>3784</v>
      </c>
      <c r="C435" s="199" t="s">
        <v>34</v>
      </c>
      <c r="D435" s="199" t="s">
        <v>35</v>
      </c>
      <c r="E435" s="199">
        <v>960</v>
      </c>
      <c r="F435" s="199" t="s">
        <v>8</v>
      </c>
      <c r="G435" s="199" t="s">
        <v>3783</v>
      </c>
      <c r="H435" s="200">
        <v>2467.1999999999998</v>
      </c>
      <c r="I435" s="199" t="s">
        <v>20</v>
      </c>
      <c r="J435" s="199" t="s">
        <v>415</v>
      </c>
      <c r="K435" s="201">
        <v>45407</v>
      </c>
      <c r="L435" s="199" t="s">
        <v>3319</v>
      </c>
      <c r="M435" s="199" t="s">
        <v>3320</v>
      </c>
    </row>
    <row r="436" spans="1:13" ht="99.75">
      <c r="A436" s="199">
        <v>435</v>
      </c>
      <c r="B436" s="199" t="s">
        <v>3785</v>
      </c>
      <c r="C436" s="199" t="s">
        <v>34</v>
      </c>
      <c r="D436" s="199" t="s">
        <v>35</v>
      </c>
      <c r="E436" s="199">
        <v>1440</v>
      </c>
      <c r="F436" s="199" t="s">
        <v>8</v>
      </c>
      <c r="G436" s="199" t="s">
        <v>3783</v>
      </c>
      <c r="H436" s="200">
        <v>7516.8</v>
      </c>
      <c r="I436" s="199" t="s">
        <v>20</v>
      </c>
      <c r="J436" s="199" t="s">
        <v>415</v>
      </c>
      <c r="K436" s="201">
        <v>45407</v>
      </c>
      <c r="L436" s="199" t="s">
        <v>3319</v>
      </c>
      <c r="M436" s="199" t="s">
        <v>3320</v>
      </c>
    </row>
    <row r="437" spans="1:13" ht="42.75">
      <c r="A437" s="199">
        <v>436</v>
      </c>
      <c r="B437" s="199" t="s">
        <v>3786</v>
      </c>
      <c r="C437" s="199" t="s">
        <v>34</v>
      </c>
      <c r="D437" s="199" t="s">
        <v>35</v>
      </c>
      <c r="E437" s="199">
        <v>1000</v>
      </c>
      <c r="F437" s="199" t="s">
        <v>2164</v>
      </c>
      <c r="G437" s="199" t="s">
        <v>3787</v>
      </c>
      <c r="H437" s="200">
        <f>1000*17</f>
        <v>17000</v>
      </c>
      <c r="I437" s="199" t="s">
        <v>20</v>
      </c>
      <c r="J437" s="199" t="s">
        <v>2146</v>
      </c>
      <c r="K437" s="201" t="s">
        <v>1721</v>
      </c>
      <c r="L437" s="199"/>
      <c r="M437" s="199" t="s">
        <v>3320</v>
      </c>
    </row>
    <row r="438" spans="1:13" ht="71.25">
      <c r="A438" s="199">
        <v>437</v>
      </c>
      <c r="B438" s="199" t="s">
        <v>3788</v>
      </c>
      <c r="C438" s="199" t="s">
        <v>34</v>
      </c>
      <c r="D438" s="199" t="s">
        <v>35</v>
      </c>
      <c r="E438" s="202">
        <f>375+125</f>
        <v>500</v>
      </c>
      <c r="F438" s="199" t="s">
        <v>8</v>
      </c>
      <c r="G438" s="199" t="s">
        <v>3789</v>
      </c>
      <c r="H438" s="200">
        <f>5.62*E438</f>
        <v>2810</v>
      </c>
      <c r="I438" s="199" t="s">
        <v>20</v>
      </c>
      <c r="J438" s="199" t="s">
        <v>36</v>
      </c>
      <c r="K438" s="199" t="s">
        <v>1721</v>
      </c>
      <c r="L438" s="199" t="s">
        <v>3717</v>
      </c>
      <c r="M438" s="199" t="s">
        <v>3320</v>
      </c>
    </row>
    <row r="439" spans="1:13" ht="71.25">
      <c r="A439" s="199">
        <v>438</v>
      </c>
      <c r="B439" s="199" t="s">
        <v>3790</v>
      </c>
      <c r="C439" s="199" t="s">
        <v>34</v>
      </c>
      <c r="D439" s="199" t="s">
        <v>35</v>
      </c>
      <c r="E439" s="202">
        <v>100</v>
      </c>
      <c r="F439" s="199" t="s">
        <v>679</v>
      </c>
      <c r="G439" s="199" t="s">
        <v>3789</v>
      </c>
      <c r="H439" s="200">
        <f>4.69*E439</f>
        <v>469.00000000000006</v>
      </c>
      <c r="I439" s="199" t="s">
        <v>20</v>
      </c>
      <c r="J439" s="199" t="s">
        <v>36</v>
      </c>
      <c r="K439" s="199" t="s">
        <v>1721</v>
      </c>
      <c r="L439" s="199" t="s">
        <v>3717</v>
      </c>
      <c r="M439" s="199" t="s">
        <v>3320</v>
      </c>
    </row>
    <row r="440" spans="1:13" ht="85.5">
      <c r="A440" s="199">
        <v>439</v>
      </c>
      <c r="B440" s="199" t="s">
        <v>3791</v>
      </c>
      <c r="C440" s="199" t="s">
        <v>34</v>
      </c>
      <c r="D440" s="199" t="s">
        <v>35</v>
      </c>
      <c r="E440" s="199">
        <v>10</v>
      </c>
      <c r="F440" s="199" t="s">
        <v>8</v>
      </c>
      <c r="G440" s="199" t="s">
        <v>3792</v>
      </c>
      <c r="H440" s="200">
        <v>41000</v>
      </c>
      <c r="I440" s="199" t="s">
        <v>20</v>
      </c>
      <c r="J440" s="199" t="s">
        <v>415</v>
      </c>
      <c r="K440" s="201">
        <v>45554</v>
      </c>
      <c r="L440" s="199" t="s">
        <v>3319</v>
      </c>
      <c r="M440" s="199" t="s">
        <v>3320</v>
      </c>
    </row>
    <row r="441" spans="1:13" ht="85.5">
      <c r="A441" s="199">
        <v>440</v>
      </c>
      <c r="B441" s="199" t="s">
        <v>3167</v>
      </c>
      <c r="C441" s="199" t="s">
        <v>34</v>
      </c>
      <c r="D441" s="199" t="s">
        <v>35</v>
      </c>
      <c r="E441" s="199">
        <v>400</v>
      </c>
      <c r="F441" s="199" t="s">
        <v>749</v>
      </c>
      <c r="G441" s="199" t="s">
        <v>3792</v>
      </c>
      <c r="H441" s="200">
        <v>115500</v>
      </c>
      <c r="I441" s="199" t="s">
        <v>20</v>
      </c>
      <c r="J441" s="199" t="s">
        <v>415</v>
      </c>
      <c r="K441" s="201">
        <v>45554</v>
      </c>
      <c r="L441" s="199" t="s">
        <v>3319</v>
      </c>
      <c r="M441" s="199" t="s">
        <v>3320</v>
      </c>
    </row>
    <row r="442" spans="1:13" ht="171">
      <c r="A442" s="199">
        <v>441</v>
      </c>
      <c r="B442" s="199" t="s">
        <v>3793</v>
      </c>
      <c r="C442" s="199" t="s">
        <v>34</v>
      </c>
      <c r="D442" s="199" t="s">
        <v>35</v>
      </c>
      <c r="E442" s="199">
        <v>18</v>
      </c>
      <c r="F442" s="199" t="s">
        <v>2378</v>
      </c>
      <c r="G442" s="199" t="s">
        <v>3792</v>
      </c>
      <c r="H442" s="200">
        <v>4882.5</v>
      </c>
      <c r="I442" s="199" t="s">
        <v>20</v>
      </c>
      <c r="J442" s="199" t="s">
        <v>415</v>
      </c>
      <c r="K442" s="201">
        <v>45554</v>
      </c>
      <c r="L442" s="199" t="s">
        <v>3319</v>
      </c>
      <c r="M442" s="199" t="s">
        <v>3320</v>
      </c>
    </row>
    <row r="443" spans="1:13" ht="85.5">
      <c r="A443" s="199">
        <v>442</v>
      </c>
      <c r="B443" s="199" t="s">
        <v>3794</v>
      </c>
      <c r="C443" s="199" t="s">
        <v>34</v>
      </c>
      <c r="D443" s="199" t="s">
        <v>35</v>
      </c>
      <c r="E443" s="199">
        <v>10</v>
      </c>
      <c r="F443" s="199" t="s">
        <v>255</v>
      </c>
      <c r="G443" s="199" t="s">
        <v>3792</v>
      </c>
      <c r="H443" s="200">
        <v>1312.5</v>
      </c>
      <c r="I443" s="199" t="s">
        <v>20</v>
      </c>
      <c r="J443" s="199" t="s">
        <v>415</v>
      </c>
      <c r="K443" s="201">
        <v>45554</v>
      </c>
      <c r="L443" s="199" t="s">
        <v>3319</v>
      </c>
      <c r="M443" s="199" t="s">
        <v>3320</v>
      </c>
    </row>
    <row r="444" spans="1:13" ht="99.75">
      <c r="A444" s="199">
        <v>443</v>
      </c>
      <c r="B444" s="199" t="s">
        <v>3795</v>
      </c>
      <c r="C444" s="199" t="s">
        <v>34</v>
      </c>
      <c r="D444" s="199" t="s">
        <v>35</v>
      </c>
      <c r="E444" s="199">
        <v>10</v>
      </c>
      <c r="F444" s="199" t="s">
        <v>3264</v>
      </c>
      <c r="G444" s="199" t="s">
        <v>3792</v>
      </c>
      <c r="H444" s="200">
        <v>3287.5</v>
      </c>
      <c r="I444" s="199" t="s">
        <v>20</v>
      </c>
      <c r="J444" s="199" t="s">
        <v>415</v>
      </c>
      <c r="K444" s="201">
        <v>45554</v>
      </c>
      <c r="L444" s="199" t="s">
        <v>3319</v>
      </c>
      <c r="M444" s="199" t="s">
        <v>3320</v>
      </c>
    </row>
    <row r="445" spans="1:13" ht="85.5">
      <c r="A445" s="199">
        <v>444</v>
      </c>
      <c r="B445" s="199" t="s">
        <v>3796</v>
      </c>
      <c r="C445" s="199" t="s">
        <v>34</v>
      </c>
      <c r="D445" s="199" t="s">
        <v>35</v>
      </c>
      <c r="E445" s="199">
        <v>60</v>
      </c>
      <c r="F445" s="199" t="s">
        <v>2378</v>
      </c>
      <c r="G445" s="199" t="s">
        <v>3792</v>
      </c>
      <c r="H445" s="200">
        <v>8280</v>
      </c>
      <c r="I445" s="199" t="s">
        <v>20</v>
      </c>
      <c r="J445" s="199" t="s">
        <v>415</v>
      </c>
      <c r="K445" s="201">
        <v>45554</v>
      </c>
      <c r="L445" s="199" t="s">
        <v>3319</v>
      </c>
      <c r="M445" s="199" t="s">
        <v>3320</v>
      </c>
    </row>
    <row r="446" spans="1:13" ht="99.75">
      <c r="A446" s="199">
        <v>445</v>
      </c>
      <c r="B446" s="199" t="s">
        <v>3797</v>
      </c>
      <c r="C446" s="199" t="s">
        <v>25</v>
      </c>
      <c r="D446" s="199" t="s">
        <v>17</v>
      </c>
      <c r="E446" s="199">
        <v>12000</v>
      </c>
      <c r="F446" s="199" t="s">
        <v>3385</v>
      </c>
      <c r="G446" s="199" t="s">
        <v>3798</v>
      </c>
      <c r="H446" s="200">
        <v>222000</v>
      </c>
      <c r="I446" s="199" t="s">
        <v>38</v>
      </c>
      <c r="J446" s="199" t="s">
        <v>415</v>
      </c>
      <c r="K446" s="201">
        <v>45419</v>
      </c>
      <c r="L446" s="199" t="s">
        <v>3799</v>
      </c>
      <c r="M446" s="199" t="s">
        <v>3320</v>
      </c>
    </row>
    <row r="447" spans="1:13" ht="85.5">
      <c r="A447" s="199">
        <v>446</v>
      </c>
      <c r="B447" s="199" t="s">
        <v>3800</v>
      </c>
      <c r="C447" s="199" t="s">
        <v>2552</v>
      </c>
      <c r="D447" s="199" t="s">
        <v>17</v>
      </c>
      <c r="E447" s="202">
        <v>12</v>
      </c>
      <c r="F447" s="199" t="s">
        <v>3801</v>
      </c>
      <c r="G447" s="199" t="s">
        <v>3798</v>
      </c>
      <c r="H447" s="200">
        <v>219471.84</v>
      </c>
      <c r="I447" s="199" t="s">
        <v>38</v>
      </c>
      <c r="J447" s="199" t="s">
        <v>415</v>
      </c>
      <c r="K447" s="201">
        <v>45434</v>
      </c>
      <c r="L447" s="199" t="s">
        <v>3802</v>
      </c>
      <c r="M447" s="199" t="s">
        <v>3320</v>
      </c>
    </row>
    <row r="448" spans="1:13" ht="85.5">
      <c r="A448" s="199">
        <v>447</v>
      </c>
      <c r="B448" s="199" t="s">
        <v>3803</v>
      </c>
      <c r="C448" s="199" t="s">
        <v>34</v>
      </c>
      <c r="D448" s="199" t="s">
        <v>35</v>
      </c>
      <c r="E448" s="202">
        <v>300</v>
      </c>
      <c r="F448" s="199" t="s">
        <v>3804</v>
      </c>
      <c r="G448" s="199" t="s">
        <v>3798</v>
      </c>
      <c r="H448" s="200">
        <v>2376</v>
      </c>
      <c r="I448" s="199" t="s">
        <v>38</v>
      </c>
      <c r="J448" s="199" t="s">
        <v>415</v>
      </c>
      <c r="K448" s="201">
        <v>45434</v>
      </c>
      <c r="L448" s="199" t="s">
        <v>3802</v>
      </c>
      <c r="M448" s="199" t="s">
        <v>3320</v>
      </c>
    </row>
    <row r="449" spans="1:13" ht="71.25">
      <c r="A449" s="199">
        <v>448</v>
      </c>
      <c r="B449" s="199" t="s">
        <v>3805</v>
      </c>
      <c r="C449" s="199" t="s">
        <v>34</v>
      </c>
      <c r="D449" s="199" t="s">
        <v>35</v>
      </c>
      <c r="E449" s="202">
        <v>300</v>
      </c>
      <c r="F449" s="199" t="s">
        <v>3804</v>
      </c>
      <c r="G449" s="199" t="s">
        <v>3798</v>
      </c>
      <c r="H449" s="200">
        <v>3708</v>
      </c>
      <c r="I449" s="199" t="s">
        <v>38</v>
      </c>
      <c r="J449" s="199" t="s">
        <v>415</v>
      </c>
      <c r="K449" s="201">
        <v>45434</v>
      </c>
      <c r="L449" s="199" t="s">
        <v>3802</v>
      </c>
      <c r="M449" s="199" t="s">
        <v>3320</v>
      </c>
    </row>
    <row r="450" spans="1:13" ht="71.25">
      <c r="A450" s="199">
        <v>449</v>
      </c>
      <c r="B450" s="199" t="s">
        <v>3806</v>
      </c>
      <c r="C450" s="199" t="s">
        <v>34</v>
      </c>
      <c r="D450" s="199" t="s">
        <v>35</v>
      </c>
      <c r="E450" s="202">
        <v>1500</v>
      </c>
      <c r="F450" s="199" t="s">
        <v>3804</v>
      </c>
      <c r="G450" s="199" t="s">
        <v>3798</v>
      </c>
      <c r="H450" s="200">
        <v>17145</v>
      </c>
      <c r="I450" s="199" t="s">
        <v>38</v>
      </c>
      <c r="J450" s="199" t="s">
        <v>415</v>
      </c>
      <c r="K450" s="201">
        <v>45434</v>
      </c>
      <c r="L450" s="199" t="s">
        <v>3802</v>
      </c>
      <c r="M450" s="199" t="s">
        <v>3320</v>
      </c>
    </row>
    <row r="451" spans="1:13" ht="71.25">
      <c r="A451" s="199">
        <v>450</v>
      </c>
      <c r="B451" s="199" t="s">
        <v>3807</v>
      </c>
      <c r="C451" s="199" t="s">
        <v>34</v>
      </c>
      <c r="D451" s="199" t="s">
        <v>35</v>
      </c>
      <c r="E451" s="202">
        <v>2200</v>
      </c>
      <c r="F451" s="199" t="s">
        <v>3804</v>
      </c>
      <c r="G451" s="199" t="s">
        <v>3798</v>
      </c>
      <c r="H451" s="200">
        <v>20262</v>
      </c>
      <c r="I451" s="199" t="s">
        <v>38</v>
      </c>
      <c r="J451" s="199" t="s">
        <v>415</v>
      </c>
      <c r="K451" s="201">
        <v>45434</v>
      </c>
      <c r="L451" s="199" t="s">
        <v>3802</v>
      </c>
      <c r="M451" s="199" t="s">
        <v>3320</v>
      </c>
    </row>
    <row r="452" spans="1:13" ht="71.25">
      <c r="A452" s="199">
        <v>451</v>
      </c>
      <c r="B452" s="199" t="s">
        <v>3808</v>
      </c>
      <c r="C452" s="199" t="s">
        <v>34</v>
      </c>
      <c r="D452" s="199" t="s">
        <v>35</v>
      </c>
      <c r="E452" s="202">
        <v>3000</v>
      </c>
      <c r="F452" s="199" t="s">
        <v>3804</v>
      </c>
      <c r="G452" s="199" t="s">
        <v>3798</v>
      </c>
      <c r="H452" s="200">
        <v>47940</v>
      </c>
      <c r="I452" s="199" t="s">
        <v>38</v>
      </c>
      <c r="J452" s="199" t="s">
        <v>415</v>
      </c>
      <c r="K452" s="201">
        <v>45434</v>
      </c>
      <c r="L452" s="199" t="s">
        <v>3802</v>
      </c>
      <c r="M452" s="199" t="s">
        <v>3320</v>
      </c>
    </row>
    <row r="453" spans="1:13" ht="71.25">
      <c r="A453" s="199">
        <v>452</v>
      </c>
      <c r="B453" s="199" t="s">
        <v>3809</v>
      </c>
      <c r="C453" s="199" t="s">
        <v>34</v>
      </c>
      <c r="D453" s="199" t="s">
        <v>35</v>
      </c>
      <c r="E453" s="202">
        <v>3000</v>
      </c>
      <c r="F453" s="199" t="s">
        <v>3804</v>
      </c>
      <c r="G453" s="199" t="s">
        <v>3798</v>
      </c>
      <c r="H453" s="200">
        <v>37080</v>
      </c>
      <c r="I453" s="199" t="s">
        <v>38</v>
      </c>
      <c r="J453" s="199" t="s">
        <v>415</v>
      </c>
      <c r="K453" s="201">
        <v>45434</v>
      </c>
      <c r="L453" s="199" t="s">
        <v>3802</v>
      </c>
      <c r="M453" s="199" t="s">
        <v>3320</v>
      </c>
    </row>
    <row r="454" spans="1:13" ht="85.5">
      <c r="A454" s="199">
        <v>453</v>
      </c>
      <c r="B454" s="199" t="s">
        <v>3810</v>
      </c>
      <c r="C454" s="199" t="s">
        <v>34</v>
      </c>
      <c r="D454" s="199" t="s">
        <v>35</v>
      </c>
      <c r="E454" s="202">
        <v>1600</v>
      </c>
      <c r="F454" s="199" t="s">
        <v>3804</v>
      </c>
      <c r="G454" s="199" t="s">
        <v>3798</v>
      </c>
      <c r="H454" s="200">
        <v>18256</v>
      </c>
      <c r="I454" s="199" t="s">
        <v>38</v>
      </c>
      <c r="J454" s="199" t="s">
        <v>415</v>
      </c>
      <c r="K454" s="201">
        <v>45434</v>
      </c>
      <c r="L454" s="199" t="s">
        <v>3802</v>
      </c>
      <c r="M454" s="199" t="s">
        <v>3320</v>
      </c>
    </row>
    <row r="455" spans="1:13" ht="71.25">
      <c r="A455" s="199">
        <v>454</v>
      </c>
      <c r="B455" s="199" t="s">
        <v>3811</v>
      </c>
      <c r="C455" s="199" t="s">
        <v>34</v>
      </c>
      <c r="D455" s="199" t="s">
        <v>35</v>
      </c>
      <c r="E455" s="202">
        <v>2000</v>
      </c>
      <c r="F455" s="199" t="s">
        <v>3804</v>
      </c>
      <c r="G455" s="199" t="s">
        <v>3798</v>
      </c>
      <c r="H455" s="200">
        <v>40120</v>
      </c>
      <c r="I455" s="199" t="s">
        <v>38</v>
      </c>
      <c r="J455" s="199" t="s">
        <v>415</v>
      </c>
      <c r="K455" s="201">
        <v>45434</v>
      </c>
      <c r="L455" s="199" t="s">
        <v>3802</v>
      </c>
      <c r="M455" s="199" t="s">
        <v>3320</v>
      </c>
    </row>
    <row r="456" spans="1:13" ht="85.5">
      <c r="A456" s="199">
        <v>455</v>
      </c>
      <c r="B456" s="199" t="s">
        <v>3812</v>
      </c>
      <c r="C456" s="199" t="s">
        <v>34</v>
      </c>
      <c r="D456" s="199" t="s">
        <v>35</v>
      </c>
      <c r="E456" s="202">
        <v>600</v>
      </c>
      <c r="F456" s="199" t="s">
        <v>3804</v>
      </c>
      <c r="G456" s="199" t="s">
        <v>3798</v>
      </c>
      <c r="H456" s="200">
        <v>6474</v>
      </c>
      <c r="I456" s="199" t="s">
        <v>38</v>
      </c>
      <c r="J456" s="199" t="s">
        <v>415</v>
      </c>
      <c r="K456" s="201">
        <v>45434</v>
      </c>
      <c r="L456" s="199" t="s">
        <v>3802</v>
      </c>
      <c r="M456" s="199" t="s">
        <v>3320</v>
      </c>
    </row>
    <row r="457" spans="1:13" ht="71.25">
      <c r="A457" s="199">
        <v>456</v>
      </c>
      <c r="B457" s="199" t="s">
        <v>3813</v>
      </c>
      <c r="C457" s="199" t="s">
        <v>34</v>
      </c>
      <c r="D457" s="199" t="s">
        <v>35</v>
      </c>
      <c r="E457" s="202">
        <v>400</v>
      </c>
      <c r="F457" s="199" t="s">
        <v>3804</v>
      </c>
      <c r="G457" s="199" t="s">
        <v>3798</v>
      </c>
      <c r="H457" s="200">
        <v>4600</v>
      </c>
      <c r="I457" s="199" t="s">
        <v>38</v>
      </c>
      <c r="J457" s="199" t="s">
        <v>415</v>
      </c>
      <c r="K457" s="201">
        <v>45068</v>
      </c>
      <c r="L457" s="199" t="s">
        <v>3802</v>
      </c>
      <c r="M457" s="199" t="s">
        <v>3320</v>
      </c>
    </row>
    <row r="458" spans="1:13" ht="71.25">
      <c r="A458" s="199">
        <v>457</v>
      </c>
      <c r="B458" s="199" t="s">
        <v>3814</v>
      </c>
      <c r="C458" s="199" t="s">
        <v>34</v>
      </c>
      <c r="D458" s="199" t="s">
        <v>35</v>
      </c>
      <c r="E458" s="202">
        <v>300</v>
      </c>
      <c r="F458" s="199" t="s">
        <v>3804</v>
      </c>
      <c r="G458" s="199" t="s">
        <v>3798</v>
      </c>
      <c r="H458" s="200">
        <v>3921</v>
      </c>
      <c r="I458" s="199" t="s">
        <v>38</v>
      </c>
      <c r="J458" s="199" t="s">
        <v>415</v>
      </c>
      <c r="K458" s="201">
        <v>45068</v>
      </c>
      <c r="L458" s="199" t="s">
        <v>3802</v>
      </c>
      <c r="M458" s="199" t="s">
        <v>3320</v>
      </c>
    </row>
    <row r="459" spans="1:13" ht="71.25">
      <c r="A459" s="199">
        <v>458</v>
      </c>
      <c r="B459" s="199" t="s">
        <v>3815</v>
      </c>
      <c r="C459" s="199" t="s">
        <v>34</v>
      </c>
      <c r="D459" s="199" t="s">
        <v>35</v>
      </c>
      <c r="E459" s="202">
        <v>300</v>
      </c>
      <c r="F459" s="199" t="s">
        <v>3804</v>
      </c>
      <c r="G459" s="199" t="s">
        <v>3798</v>
      </c>
      <c r="H459" s="200">
        <v>2568</v>
      </c>
      <c r="I459" s="199" t="s">
        <v>38</v>
      </c>
      <c r="J459" s="199" t="s">
        <v>415</v>
      </c>
      <c r="K459" s="201">
        <v>45068</v>
      </c>
      <c r="L459" s="199" t="s">
        <v>3802</v>
      </c>
      <c r="M459" s="199" t="s">
        <v>3320</v>
      </c>
    </row>
    <row r="460" spans="1:13" ht="71.25">
      <c r="A460" s="199">
        <v>459</v>
      </c>
      <c r="B460" s="199" t="s">
        <v>3816</v>
      </c>
      <c r="C460" s="199" t="s">
        <v>34</v>
      </c>
      <c r="D460" s="199" t="s">
        <v>35</v>
      </c>
      <c r="E460" s="202">
        <v>500</v>
      </c>
      <c r="F460" s="199" t="s">
        <v>3804</v>
      </c>
      <c r="G460" s="199" t="s">
        <v>3798</v>
      </c>
      <c r="H460" s="200">
        <v>6065</v>
      </c>
      <c r="I460" s="199" t="s">
        <v>38</v>
      </c>
      <c r="J460" s="199" t="s">
        <v>415</v>
      </c>
      <c r="K460" s="201">
        <v>45068</v>
      </c>
      <c r="L460" s="199" t="s">
        <v>3802</v>
      </c>
      <c r="M460" s="199" t="s">
        <v>3320</v>
      </c>
    </row>
    <row r="461" spans="1:13" ht="85.5">
      <c r="A461" s="199">
        <v>460</v>
      </c>
      <c r="B461" s="199" t="s">
        <v>3817</v>
      </c>
      <c r="C461" s="199" t="s">
        <v>34</v>
      </c>
      <c r="D461" s="199" t="s">
        <v>35</v>
      </c>
      <c r="E461" s="202">
        <v>800</v>
      </c>
      <c r="F461" s="199" t="s">
        <v>3804</v>
      </c>
      <c r="G461" s="199" t="s">
        <v>3798</v>
      </c>
      <c r="H461" s="200">
        <v>38616</v>
      </c>
      <c r="I461" s="199" t="s">
        <v>38</v>
      </c>
      <c r="J461" s="199" t="s">
        <v>415</v>
      </c>
      <c r="K461" s="201">
        <v>45068</v>
      </c>
      <c r="L461" s="199" t="s">
        <v>3802</v>
      </c>
      <c r="M461" s="199" t="s">
        <v>3320</v>
      </c>
    </row>
    <row r="462" spans="1:13" ht="85.5">
      <c r="A462" s="199">
        <v>461</v>
      </c>
      <c r="B462" s="199" t="s">
        <v>3818</v>
      </c>
      <c r="C462" s="199" t="s">
        <v>34</v>
      </c>
      <c r="D462" s="199" t="s">
        <v>35</v>
      </c>
      <c r="E462" s="202">
        <v>800</v>
      </c>
      <c r="F462" s="199" t="s">
        <v>3804</v>
      </c>
      <c r="G462" s="199" t="s">
        <v>3798</v>
      </c>
      <c r="H462" s="200">
        <v>38616</v>
      </c>
      <c r="I462" s="199" t="s">
        <v>38</v>
      </c>
      <c r="J462" s="199" t="s">
        <v>415</v>
      </c>
      <c r="K462" s="201">
        <v>45068</v>
      </c>
      <c r="L462" s="199" t="s">
        <v>3802</v>
      </c>
      <c r="M462" s="199" t="s">
        <v>3320</v>
      </c>
    </row>
    <row r="463" spans="1:13" ht="71.25">
      <c r="A463" s="199">
        <v>462</v>
      </c>
      <c r="B463" s="199" t="s">
        <v>3819</v>
      </c>
      <c r="C463" s="199" t="s">
        <v>34</v>
      </c>
      <c r="D463" s="199" t="s">
        <v>35</v>
      </c>
      <c r="E463" s="202">
        <v>300</v>
      </c>
      <c r="F463" s="199" t="s">
        <v>3804</v>
      </c>
      <c r="G463" s="199" t="s">
        <v>3798</v>
      </c>
      <c r="H463" s="200">
        <v>2388</v>
      </c>
      <c r="I463" s="199" t="s">
        <v>38</v>
      </c>
      <c r="J463" s="199" t="s">
        <v>415</v>
      </c>
      <c r="K463" s="201">
        <v>45068</v>
      </c>
      <c r="L463" s="199" t="s">
        <v>3802</v>
      </c>
      <c r="M463" s="199" t="s">
        <v>3320</v>
      </c>
    </row>
    <row r="464" spans="1:13" ht="71.25">
      <c r="A464" s="199">
        <v>463</v>
      </c>
      <c r="B464" s="199" t="s">
        <v>3820</v>
      </c>
      <c r="C464" s="199" t="s">
        <v>34</v>
      </c>
      <c r="D464" s="199" t="s">
        <v>35</v>
      </c>
      <c r="E464" s="202">
        <v>1200</v>
      </c>
      <c r="F464" s="199" t="s">
        <v>3804</v>
      </c>
      <c r="G464" s="199" t="s">
        <v>3798</v>
      </c>
      <c r="H464" s="200">
        <v>9300</v>
      </c>
      <c r="I464" s="199" t="s">
        <v>38</v>
      </c>
      <c r="J464" s="199" t="s">
        <v>415</v>
      </c>
      <c r="K464" s="201">
        <v>45068</v>
      </c>
      <c r="L464" s="199" t="s">
        <v>3802</v>
      </c>
      <c r="M464" s="199" t="s">
        <v>3320</v>
      </c>
    </row>
    <row r="465" spans="1:13" ht="71.25">
      <c r="A465" s="199">
        <v>464</v>
      </c>
      <c r="B465" s="199" t="s">
        <v>3821</v>
      </c>
      <c r="C465" s="199" t="s">
        <v>34</v>
      </c>
      <c r="D465" s="199" t="s">
        <v>35</v>
      </c>
      <c r="E465" s="202">
        <v>4500</v>
      </c>
      <c r="F465" s="199" t="s">
        <v>3804</v>
      </c>
      <c r="G465" s="199" t="s">
        <v>3798</v>
      </c>
      <c r="H465" s="200">
        <v>34380</v>
      </c>
      <c r="I465" s="199" t="s">
        <v>38</v>
      </c>
      <c r="J465" s="199" t="s">
        <v>415</v>
      </c>
      <c r="K465" s="201">
        <v>45068</v>
      </c>
      <c r="L465" s="199" t="s">
        <v>3802</v>
      </c>
      <c r="M465" s="199" t="s">
        <v>3320</v>
      </c>
    </row>
    <row r="466" spans="1:13" ht="71.25">
      <c r="A466" s="199">
        <v>465</v>
      </c>
      <c r="B466" s="199" t="s">
        <v>3822</v>
      </c>
      <c r="C466" s="199" t="s">
        <v>34</v>
      </c>
      <c r="D466" s="199" t="s">
        <v>35</v>
      </c>
      <c r="E466" s="202">
        <v>1800</v>
      </c>
      <c r="F466" s="199" t="s">
        <v>3804</v>
      </c>
      <c r="G466" s="199" t="s">
        <v>3798</v>
      </c>
      <c r="H466" s="200">
        <v>13788</v>
      </c>
      <c r="I466" s="199" t="s">
        <v>38</v>
      </c>
      <c r="J466" s="199" t="s">
        <v>415</v>
      </c>
      <c r="K466" s="201">
        <v>45068</v>
      </c>
      <c r="L466" s="199" t="s">
        <v>3802</v>
      </c>
      <c r="M466" s="199" t="s">
        <v>3320</v>
      </c>
    </row>
    <row r="467" spans="1:13" ht="71.25">
      <c r="A467" s="199">
        <v>466</v>
      </c>
      <c r="B467" s="199" t="s">
        <v>3823</v>
      </c>
      <c r="C467" s="199" t="s">
        <v>34</v>
      </c>
      <c r="D467" s="199" t="s">
        <v>35</v>
      </c>
      <c r="E467" s="202">
        <v>300</v>
      </c>
      <c r="F467" s="199" t="s">
        <v>3804</v>
      </c>
      <c r="G467" s="199" t="s">
        <v>3798</v>
      </c>
      <c r="H467" s="200">
        <v>5166</v>
      </c>
      <c r="I467" s="199" t="s">
        <v>38</v>
      </c>
      <c r="J467" s="199" t="s">
        <v>415</v>
      </c>
      <c r="K467" s="201">
        <v>45068</v>
      </c>
      <c r="L467" s="199" t="s">
        <v>3802</v>
      </c>
      <c r="M467" s="199" t="s">
        <v>3320</v>
      </c>
    </row>
    <row r="468" spans="1:13" ht="71.25">
      <c r="A468" s="199">
        <v>467</v>
      </c>
      <c r="B468" s="199" t="s">
        <v>3824</v>
      </c>
      <c r="C468" s="199" t="s">
        <v>34</v>
      </c>
      <c r="D468" s="199" t="s">
        <v>35</v>
      </c>
      <c r="E468" s="202">
        <v>300</v>
      </c>
      <c r="F468" s="199" t="s">
        <v>3804</v>
      </c>
      <c r="G468" s="199" t="s">
        <v>3798</v>
      </c>
      <c r="H468" s="200">
        <v>6276</v>
      </c>
      <c r="I468" s="199" t="s">
        <v>38</v>
      </c>
      <c r="J468" s="199" t="s">
        <v>415</v>
      </c>
      <c r="K468" s="201">
        <v>45068</v>
      </c>
      <c r="L468" s="199" t="s">
        <v>3802</v>
      </c>
      <c r="M468" s="199" t="s">
        <v>3320</v>
      </c>
    </row>
    <row r="469" spans="1:13" ht="71.25">
      <c r="A469" s="199">
        <v>468</v>
      </c>
      <c r="B469" s="199" t="s">
        <v>3825</v>
      </c>
      <c r="C469" s="199" t="s">
        <v>34</v>
      </c>
      <c r="D469" s="199" t="s">
        <v>35</v>
      </c>
      <c r="E469" s="202">
        <v>3600</v>
      </c>
      <c r="F469" s="199" t="s">
        <v>3804</v>
      </c>
      <c r="G469" s="199" t="s">
        <v>3798</v>
      </c>
      <c r="H469" s="200">
        <v>38484</v>
      </c>
      <c r="I469" s="199" t="s">
        <v>38</v>
      </c>
      <c r="J469" s="199" t="s">
        <v>415</v>
      </c>
      <c r="K469" s="201">
        <v>45068</v>
      </c>
      <c r="L469" s="199" t="s">
        <v>3802</v>
      </c>
      <c r="M469" s="199" t="s">
        <v>3320</v>
      </c>
    </row>
    <row r="470" spans="1:13" ht="71.25">
      <c r="A470" s="199">
        <v>469</v>
      </c>
      <c r="B470" s="199" t="s">
        <v>3826</v>
      </c>
      <c r="C470" s="199" t="s">
        <v>34</v>
      </c>
      <c r="D470" s="199" t="s">
        <v>35</v>
      </c>
      <c r="E470" s="202">
        <v>500</v>
      </c>
      <c r="F470" s="199" t="s">
        <v>3804</v>
      </c>
      <c r="G470" s="199" t="s">
        <v>3798</v>
      </c>
      <c r="H470" s="200">
        <v>7525</v>
      </c>
      <c r="I470" s="199" t="s">
        <v>38</v>
      </c>
      <c r="J470" s="199" t="s">
        <v>415</v>
      </c>
      <c r="K470" s="201">
        <v>45068</v>
      </c>
      <c r="L470" s="199" t="s">
        <v>3802</v>
      </c>
      <c r="M470" s="199" t="s">
        <v>3320</v>
      </c>
    </row>
    <row r="471" spans="1:13" ht="71.25">
      <c r="A471" s="199">
        <v>470</v>
      </c>
      <c r="B471" s="199" t="s">
        <v>3827</v>
      </c>
      <c r="C471" s="199" t="s">
        <v>34</v>
      </c>
      <c r="D471" s="199" t="s">
        <v>35</v>
      </c>
      <c r="E471" s="202">
        <v>1600</v>
      </c>
      <c r="F471" s="199" t="s">
        <v>3804</v>
      </c>
      <c r="G471" s="199" t="s">
        <v>3798</v>
      </c>
      <c r="H471" s="200">
        <v>9856</v>
      </c>
      <c r="I471" s="199" t="s">
        <v>38</v>
      </c>
      <c r="J471" s="199" t="s">
        <v>415</v>
      </c>
      <c r="K471" s="201">
        <v>45068</v>
      </c>
      <c r="L471" s="199" t="s">
        <v>3802</v>
      </c>
      <c r="M471" s="199" t="s">
        <v>3320</v>
      </c>
    </row>
    <row r="472" spans="1:13" ht="71.25">
      <c r="A472" s="199">
        <v>471</v>
      </c>
      <c r="B472" s="199" t="s">
        <v>3828</v>
      </c>
      <c r="C472" s="199" t="s">
        <v>34</v>
      </c>
      <c r="D472" s="199" t="s">
        <v>35</v>
      </c>
      <c r="E472" s="202">
        <v>800</v>
      </c>
      <c r="F472" s="199" t="s">
        <v>3804</v>
      </c>
      <c r="G472" s="199" t="s">
        <v>3798</v>
      </c>
      <c r="H472" s="200">
        <v>5184</v>
      </c>
      <c r="I472" s="199" t="s">
        <v>38</v>
      </c>
      <c r="J472" s="199" t="s">
        <v>415</v>
      </c>
      <c r="K472" s="201">
        <v>45068</v>
      </c>
      <c r="L472" s="199" t="s">
        <v>3802</v>
      </c>
      <c r="M472" s="199" t="s">
        <v>3320</v>
      </c>
    </row>
    <row r="473" spans="1:13" ht="71.25">
      <c r="A473" s="199">
        <v>472</v>
      </c>
      <c r="B473" s="199" t="s">
        <v>3829</v>
      </c>
      <c r="C473" s="199" t="s">
        <v>34</v>
      </c>
      <c r="D473" s="199" t="s">
        <v>35</v>
      </c>
      <c r="E473" s="202">
        <v>800</v>
      </c>
      <c r="F473" s="199" t="s">
        <v>3804</v>
      </c>
      <c r="G473" s="199" t="s">
        <v>3798</v>
      </c>
      <c r="H473" s="200">
        <v>7512</v>
      </c>
      <c r="I473" s="199" t="s">
        <v>38</v>
      </c>
      <c r="J473" s="199" t="s">
        <v>415</v>
      </c>
      <c r="K473" s="201">
        <v>45068</v>
      </c>
      <c r="L473" s="199" t="s">
        <v>3802</v>
      </c>
      <c r="M473" s="199" t="s">
        <v>3320</v>
      </c>
    </row>
    <row r="474" spans="1:13" ht="71.25">
      <c r="A474" s="199">
        <v>473</v>
      </c>
      <c r="B474" s="199" t="s">
        <v>3830</v>
      </c>
      <c r="C474" s="199" t="s">
        <v>34</v>
      </c>
      <c r="D474" s="199" t="s">
        <v>35</v>
      </c>
      <c r="E474" s="202">
        <v>1000</v>
      </c>
      <c r="F474" s="199" t="s">
        <v>3804</v>
      </c>
      <c r="G474" s="199" t="s">
        <v>3798</v>
      </c>
      <c r="H474" s="200">
        <v>14600</v>
      </c>
      <c r="I474" s="199" t="s">
        <v>38</v>
      </c>
      <c r="J474" s="199" t="s">
        <v>415</v>
      </c>
      <c r="K474" s="201">
        <v>45068</v>
      </c>
      <c r="L474" s="199" t="s">
        <v>3802</v>
      </c>
      <c r="M474" s="199" t="s">
        <v>3320</v>
      </c>
    </row>
    <row r="475" spans="1:13" ht="71.25">
      <c r="A475" s="199">
        <v>474</v>
      </c>
      <c r="B475" s="199" t="s">
        <v>3831</v>
      </c>
      <c r="C475" s="199" t="s">
        <v>34</v>
      </c>
      <c r="D475" s="199" t="s">
        <v>35</v>
      </c>
      <c r="E475" s="202">
        <v>8000</v>
      </c>
      <c r="F475" s="199" t="s">
        <v>3804</v>
      </c>
      <c r="G475" s="199" t="s">
        <v>3798</v>
      </c>
      <c r="H475" s="200">
        <v>67840</v>
      </c>
      <c r="I475" s="199" t="s">
        <v>38</v>
      </c>
      <c r="J475" s="199" t="s">
        <v>415</v>
      </c>
      <c r="K475" s="201">
        <v>45068</v>
      </c>
      <c r="L475" s="199" t="s">
        <v>3802</v>
      </c>
      <c r="M475" s="199" t="s">
        <v>3320</v>
      </c>
    </row>
    <row r="476" spans="1:13" ht="71.25">
      <c r="A476" s="199">
        <v>475</v>
      </c>
      <c r="B476" s="199" t="s">
        <v>3832</v>
      </c>
      <c r="C476" s="199" t="s">
        <v>34</v>
      </c>
      <c r="D476" s="199" t="s">
        <v>35</v>
      </c>
      <c r="E476" s="202">
        <v>300</v>
      </c>
      <c r="F476" s="199" t="s">
        <v>3804</v>
      </c>
      <c r="G476" s="199" t="s">
        <v>3798</v>
      </c>
      <c r="H476" s="200">
        <v>4953</v>
      </c>
      <c r="I476" s="199" t="s">
        <v>38</v>
      </c>
      <c r="J476" s="199" t="s">
        <v>415</v>
      </c>
      <c r="K476" s="201">
        <v>45068</v>
      </c>
      <c r="L476" s="199" t="s">
        <v>3802</v>
      </c>
      <c r="M476" s="199" t="s">
        <v>3320</v>
      </c>
    </row>
    <row r="477" spans="1:13" ht="71.25">
      <c r="A477" s="199">
        <v>476</v>
      </c>
      <c r="B477" s="199" t="s">
        <v>3833</v>
      </c>
      <c r="C477" s="199" t="s">
        <v>34</v>
      </c>
      <c r="D477" s="199" t="s">
        <v>35</v>
      </c>
      <c r="E477" s="202">
        <v>1500</v>
      </c>
      <c r="F477" s="199" t="s">
        <v>3804</v>
      </c>
      <c r="G477" s="199" t="s">
        <v>3798</v>
      </c>
      <c r="H477" s="200">
        <v>17220</v>
      </c>
      <c r="I477" s="199" t="s">
        <v>38</v>
      </c>
      <c r="J477" s="199" t="s">
        <v>415</v>
      </c>
      <c r="K477" s="201">
        <v>45068</v>
      </c>
      <c r="L477" s="199" t="s">
        <v>3802</v>
      </c>
      <c r="M477" s="199" t="s">
        <v>3320</v>
      </c>
    </row>
    <row r="478" spans="1:13" ht="71.25">
      <c r="A478" s="199">
        <v>477</v>
      </c>
      <c r="B478" s="199" t="s">
        <v>3834</v>
      </c>
      <c r="C478" s="199" t="s">
        <v>34</v>
      </c>
      <c r="D478" s="199" t="s">
        <v>35</v>
      </c>
      <c r="E478" s="202">
        <v>1500</v>
      </c>
      <c r="F478" s="199" t="s">
        <v>3804</v>
      </c>
      <c r="G478" s="199" t="s">
        <v>3798</v>
      </c>
      <c r="H478" s="200">
        <v>23865</v>
      </c>
      <c r="I478" s="199" t="s">
        <v>38</v>
      </c>
      <c r="J478" s="199" t="s">
        <v>415</v>
      </c>
      <c r="K478" s="201">
        <v>45068</v>
      </c>
      <c r="L478" s="199" t="s">
        <v>3802</v>
      </c>
      <c r="M478" s="199" t="s">
        <v>3320</v>
      </c>
    </row>
    <row r="479" spans="1:13" ht="71.25">
      <c r="A479" s="199">
        <v>478</v>
      </c>
      <c r="B479" s="199" t="s">
        <v>3835</v>
      </c>
      <c r="C479" s="199" t="s">
        <v>34</v>
      </c>
      <c r="D479" s="199" t="s">
        <v>35</v>
      </c>
      <c r="E479" s="202">
        <v>300</v>
      </c>
      <c r="F479" s="199" t="s">
        <v>3804</v>
      </c>
      <c r="G479" s="199" t="s">
        <v>3798</v>
      </c>
      <c r="H479" s="200">
        <v>2079</v>
      </c>
      <c r="I479" s="199" t="s">
        <v>38</v>
      </c>
      <c r="J479" s="199" t="s">
        <v>415</v>
      </c>
      <c r="K479" s="201">
        <v>45068</v>
      </c>
      <c r="L479" s="199" t="s">
        <v>3802</v>
      </c>
      <c r="M479" s="199" t="s">
        <v>3320</v>
      </c>
    </row>
    <row r="480" spans="1:13" ht="71.25">
      <c r="A480" s="199">
        <v>479</v>
      </c>
      <c r="B480" s="199" t="s">
        <v>3836</v>
      </c>
      <c r="C480" s="199" t="s">
        <v>34</v>
      </c>
      <c r="D480" s="199" t="s">
        <v>35</v>
      </c>
      <c r="E480" s="202">
        <v>2200</v>
      </c>
      <c r="F480" s="199" t="s">
        <v>3804</v>
      </c>
      <c r="G480" s="199" t="s">
        <v>3798</v>
      </c>
      <c r="H480" s="200">
        <v>13288</v>
      </c>
      <c r="I480" s="199" t="s">
        <v>38</v>
      </c>
      <c r="J480" s="199" t="s">
        <v>415</v>
      </c>
      <c r="K480" s="201">
        <v>45068</v>
      </c>
      <c r="L480" s="199" t="s">
        <v>3802</v>
      </c>
      <c r="M480" s="199" t="s">
        <v>3320</v>
      </c>
    </row>
    <row r="481" spans="1:13" ht="71.25">
      <c r="A481" s="199">
        <v>480</v>
      </c>
      <c r="B481" s="199" t="s">
        <v>3837</v>
      </c>
      <c r="C481" s="199" t="s">
        <v>34</v>
      </c>
      <c r="D481" s="199" t="s">
        <v>35</v>
      </c>
      <c r="E481" s="202">
        <v>22000</v>
      </c>
      <c r="F481" s="199" t="s">
        <v>3804</v>
      </c>
      <c r="G481" s="199" t="s">
        <v>3798</v>
      </c>
      <c r="H481" s="200">
        <v>130460</v>
      </c>
      <c r="I481" s="199" t="s">
        <v>38</v>
      </c>
      <c r="J481" s="199" t="s">
        <v>415</v>
      </c>
      <c r="K481" s="201">
        <v>45068</v>
      </c>
      <c r="L481" s="199" t="s">
        <v>3802</v>
      </c>
      <c r="M481" s="199" t="s">
        <v>3320</v>
      </c>
    </row>
    <row r="482" spans="1:13" ht="71.25">
      <c r="A482" s="199">
        <v>481</v>
      </c>
      <c r="B482" s="199" t="s">
        <v>3838</v>
      </c>
      <c r="C482" s="199" t="s">
        <v>34</v>
      </c>
      <c r="D482" s="199" t="s">
        <v>35</v>
      </c>
      <c r="E482" s="202">
        <v>2200</v>
      </c>
      <c r="F482" s="199" t="s">
        <v>3804</v>
      </c>
      <c r="G482" s="199" t="s">
        <v>3798</v>
      </c>
      <c r="H482" s="200">
        <v>13046</v>
      </c>
      <c r="I482" s="199" t="s">
        <v>38</v>
      </c>
      <c r="J482" s="199" t="s">
        <v>415</v>
      </c>
      <c r="K482" s="201">
        <v>45068</v>
      </c>
      <c r="L482" s="199" t="s">
        <v>3802</v>
      </c>
      <c r="M482" s="199" t="s">
        <v>3320</v>
      </c>
    </row>
    <row r="483" spans="1:13" ht="71.25">
      <c r="A483" s="199">
        <v>482</v>
      </c>
      <c r="B483" s="199" t="s">
        <v>3839</v>
      </c>
      <c r="C483" s="199" t="s">
        <v>34</v>
      </c>
      <c r="D483" s="199" t="s">
        <v>35</v>
      </c>
      <c r="E483" s="202">
        <v>1600</v>
      </c>
      <c r="F483" s="199" t="s">
        <v>3804</v>
      </c>
      <c r="G483" s="199" t="s">
        <v>3798</v>
      </c>
      <c r="H483" s="200">
        <v>11648</v>
      </c>
      <c r="I483" s="199" t="s">
        <v>38</v>
      </c>
      <c r="J483" s="199" t="s">
        <v>415</v>
      </c>
      <c r="K483" s="201">
        <v>45068</v>
      </c>
      <c r="L483" s="199" t="s">
        <v>3802</v>
      </c>
      <c r="M483" s="199" t="s">
        <v>3320</v>
      </c>
    </row>
    <row r="484" spans="1:13" ht="71.25">
      <c r="A484" s="199">
        <v>483</v>
      </c>
      <c r="B484" s="199" t="s">
        <v>3840</v>
      </c>
      <c r="C484" s="199" t="s">
        <v>34</v>
      </c>
      <c r="D484" s="199" t="s">
        <v>35</v>
      </c>
      <c r="E484" s="202">
        <v>600</v>
      </c>
      <c r="F484" s="199" t="s">
        <v>3804</v>
      </c>
      <c r="G484" s="199" t="s">
        <v>3798</v>
      </c>
      <c r="H484" s="200">
        <v>6942</v>
      </c>
      <c r="I484" s="199" t="s">
        <v>38</v>
      </c>
      <c r="J484" s="199" t="s">
        <v>415</v>
      </c>
      <c r="K484" s="201">
        <v>45068</v>
      </c>
      <c r="L484" s="199" t="s">
        <v>3802</v>
      </c>
      <c r="M484" s="199" t="s">
        <v>3320</v>
      </c>
    </row>
    <row r="485" spans="1:13" ht="71.25">
      <c r="A485" s="199">
        <v>484</v>
      </c>
      <c r="B485" s="199" t="s">
        <v>3841</v>
      </c>
      <c r="C485" s="199" t="s">
        <v>34</v>
      </c>
      <c r="D485" s="199" t="s">
        <v>35</v>
      </c>
      <c r="E485" s="202">
        <v>2200</v>
      </c>
      <c r="F485" s="199" t="s">
        <v>3804</v>
      </c>
      <c r="G485" s="199" t="s">
        <v>3798</v>
      </c>
      <c r="H485" s="200">
        <v>25388</v>
      </c>
      <c r="I485" s="199" t="s">
        <v>38</v>
      </c>
      <c r="J485" s="199" t="s">
        <v>415</v>
      </c>
      <c r="K485" s="201">
        <v>45068</v>
      </c>
      <c r="L485" s="199" t="s">
        <v>3802</v>
      </c>
      <c r="M485" s="199" t="s">
        <v>3320</v>
      </c>
    </row>
    <row r="486" spans="1:13" ht="71.25">
      <c r="A486" s="199">
        <v>485</v>
      </c>
      <c r="B486" s="199" t="s">
        <v>3842</v>
      </c>
      <c r="C486" s="199" t="s">
        <v>34</v>
      </c>
      <c r="D486" s="199" t="s">
        <v>35</v>
      </c>
      <c r="E486" s="202">
        <v>2200</v>
      </c>
      <c r="F486" s="199" t="s">
        <v>3804</v>
      </c>
      <c r="G486" s="199" t="s">
        <v>3798</v>
      </c>
      <c r="H486" s="200">
        <v>27016</v>
      </c>
      <c r="I486" s="199" t="s">
        <v>38</v>
      </c>
      <c r="J486" s="199" t="s">
        <v>415</v>
      </c>
      <c r="K486" s="201">
        <v>45068</v>
      </c>
      <c r="L486" s="199" t="s">
        <v>3802</v>
      </c>
      <c r="M486" s="199" t="s">
        <v>3320</v>
      </c>
    </row>
    <row r="487" spans="1:13" ht="85.5">
      <c r="A487" s="199">
        <v>486</v>
      </c>
      <c r="B487" s="199" t="s">
        <v>3843</v>
      </c>
      <c r="C487" s="199" t="s">
        <v>34</v>
      </c>
      <c r="D487" s="199" t="s">
        <v>35</v>
      </c>
      <c r="E487" s="202">
        <v>25000</v>
      </c>
      <c r="F487" s="199" t="s">
        <v>3804</v>
      </c>
      <c r="G487" s="199" t="s">
        <v>3798</v>
      </c>
      <c r="H487" s="200">
        <v>157000</v>
      </c>
      <c r="I487" s="199" t="s">
        <v>38</v>
      </c>
      <c r="J487" s="199" t="s">
        <v>415</v>
      </c>
      <c r="K487" s="201">
        <v>45068</v>
      </c>
      <c r="L487" s="199" t="s">
        <v>3802</v>
      </c>
      <c r="M487" s="199" t="s">
        <v>3320</v>
      </c>
    </row>
    <row r="488" spans="1:13" ht="71.25">
      <c r="A488" s="199">
        <v>487</v>
      </c>
      <c r="B488" s="199" t="s">
        <v>3844</v>
      </c>
      <c r="C488" s="199" t="s">
        <v>34</v>
      </c>
      <c r="D488" s="199" t="s">
        <v>35</v>
      </c>
      <c r="E488" s="202">
        <v>4600</v>
      </c>
      <c r="F488" s="199" t="s">
        <v>3804</v>
      </c>
      <c r="G488" s="199" t="s">
        <v>3798</v>
      </c>
      <c r="H488" s="200">
        <v>56764</v>
      </c>
      <c r="I488" s="199" t="s">
        <v>38</v>
      </c>
      <c r="J488" s="199" t="s">
        <v>415</v>
      </c>
      <c r="K488" s="201">
        <v>45068</v>
      </c>
      <c r="L488" s="199" t="s">
        <v>3802</v>
      </c>
      <c r="M488" s="199" t="s">
        <v>3320</v>
      </c>
    </row>
    <row r="489" spans="1:13" ht="71.25">
      <c r="A489" s="199">
        <v>488</v>
      </c>
      <c r="B489" s="199" t="s">
        <v>3845</v>
      </c>
      <c r="C489" s="199" t="s">
        <v>34</v>
      </c>
      <c r="D489" s="199" t="s">
        <v>35</v>
      </c>
      <c r="E489" s="199">
        <v>30</v>
      </c>
      <c r="F489" s="199" t="s">
        <v>3846</v>
      </c>
      <c r="G489" s="199" t="s">
        <v>3798</v>
      </c>
      <c r="H489" s="200">
        <v>7500</v>
      </c>
      <c r="I489" s="199" t="s">
        <v>38</v>
      </c>
      <c r="J489" s="199" t="s">
        <v>415</v>
      </c>
      <c r="K489" s="201">
        <v>45423</v>
      </c>
      <c r="L489" s="199" t="s">
        <v>3847</v>
      </c>
      <c r="M489" s="199" t="s">
        <v>3320</v>
      </c>
    </row>
    <row r="490" spans="1:13" ht="71.25">
      <c r="A490" s="199">
        <v>489</v>
      </c>
      <c r="B490" s="199" t="s">
        <v>3848</v>
      </c>
      <c r="C490" s="199" t="s">
        <v>34</v>
      </c>
      <c r="D490" s="199" t="s">
        <v>35</v>
      </c>
      <c r="E490" s="199">
        <v>30</v>
      </c>
      <c r="F490" s="199" t="s">
        <v>3846</v>
      </c>
      <c r="G490" s="199" t="s">
        <v>3798</v>
      </c>
      <c r="H490" s="200">
        <v>11250</v>
      </c>
      <c r="I490" s="199" t="s">
        <v>38</v>
      </c>
      <c r="J490" s="199" t="s">
        <v>415</v>
      </c>
      <c r="K490" s="201">
        <v>45423</v>
      </c>
      <c r="L490" s="199" t="s">
        <v>3847</v>
      </c>
      <c r="M490" s="199" t="s">
        <v>3320</v>
      </c>
    </row>
    <row r="491" spans="1:13" ht="71.25">
      <c r="A491" s="199">
        <v>490</v>
      </c>
      <c r="B491" s="199" t="s">
        <v>3849</v>
      </c>
      <c r="C491" s="199" t="s">
        <v>34</v>
      </c>
      <c r="D491" s="199" t="s">
        <v>35</v>
      </c>
      <c r="E491" s="199">
        <v>180</v>
      </c>
      <c r="F491" s="199" t="s">
        <v>3846</v>
      </c>
      <c r="G491" s="199" t="s">
        <v>3798</v>
      </c>
      <c r="H491" s="200">
        <v>286200</v>
      </c>
      <c r="I491" s="199" t="s">
        <v>38</v>
      </c>
      <c r="J491" s="199" t="s">
        <v>415</v>
      </c>
      <c r="K491" s="201">
        <v>45423</v>
      </c>
      <c r="L491" s="199" t="s">
        <v>3847</v>
      </c>
      <c r="M491" s="199" t="s">
        <v>3320</v>
      </c>
    </row>
    <row r="492" spans="1:13" ht="71.25">
      <c r="A492" s="199">
        <v>491</v>
      </c>
      <c r="B492" s="199" t="s">
        <v>3850</v>
      </c>
      <c r="C492" s="199" t="s">
        <v>34</v>
      </c>
      <c r="D492" s="199" t="s">
        <v>35</v>
      </c>
      <c r="E492" s="199">
        <v>20</v>
      </c>
      <c r="F492" s="199" t="s">
        <v>3846</v>
      </c>
      <c r="G492" s="199" t="s">
        <v>3798</v>
      </c>
      <c r="H492" s="200">
        <v>66800</v>
      </c>
      <c r="I492" s="199" t="s">
        <v>38</v>
      </c>
      <c r="J492" s="199" t="s">
        <v>415</v>
      </c>
      <c r="K492" s="201">
        <v>45423</v>
      </c>
      <c r="L492" s="199" t="s">
        <v>3847</v>
      </c>
      <c r="M492" s="199" t="s">
        <v>3320</v>
      </c>
    </row>
    <row r="493" spans="1:13" ht="71.25">
      <c r="A493" s="199">
        <v>492</v>
      </c>
      <c r="B493" s="199" t="s">
        <v>3851</v>
      </c>
      <c r="C493" s="199" t="s">
        <v>34</v>
      </c>
      <c r="D493" s="199" t="s">
        <v>35</v>
      </c>
      <c r="E493" s="199">
        <v>110</v>
      </c>
      <c r="F493" s="199" t="s">
        <v>3846</v>
      </c>
      <c r="G493" s="199" t="s">
        <v>3798</v>
      </c>
      <c r="H493" s="200">
        <v>69300</v>
      </c>
      <c r="I493" s="199" t="s">
        <v>38</v>
      </c>
      <c r="J493" s="199" t="s">
        <v>415</v>
      </c>
      <c r="K493" s="201">
        <v>45423</v>
      </c>
      <c r="L493" s="199" t="s">
        <v>3847</v>
      </c>
      <c r="M493" s="199" t="s">
        <v>3320</v>
      </c>
    </row>
    <row r="494" spans="1:13" ht="71.25">
      <c r="A494" s="199">
        <v>493</v>
      </c>
      <c r="B494" s="199" t="s">
        <v>3852</v>
      </c>
      <c r="C494" s="199" t="s">
        <v>34</v>
      </c>
      <c r="D494" s="199" t="s">
        <v>35</v>
      </c>
      <c r="E494" s="199">
        <v>15</v>
      </c>
      <c r="F494" s="199" t="s">
        <v>3846</v>
      </c>
      <c r="G494" s="199" t="s">
        <v>3798</v>
      </c>
      <c r="H494" s="200">
        <v>6600</v>
      </c>
      <c r="I494" s="199" t="s">
        <v>38</v>
      </c>
      <c r="J494" s="199" t="s">
        <v>415</v>
      </c>
      <c r="K494" s="201">
        <v>45423</v>
      </c>
      <c r="L494" s="199" t="s">
        <v>3847</v>
      </c>
      <c r="M494" s="199" t="s">
        <v>3320</v>
      </c>
    </row>
    <row r="495" spans="1:13" ht="71.25">
      <c r="A495" s="199">
        <v>494</v>
      </c>
      <c r="B495" s="199" t="s">
        <v>3853</v>
      </c>
      <c r="C495" s="199" t="s">
        <v>34</v>
      </c>
      <c r="D495" s="199" t="s">
        <v>35</v>
      </c>
      <c r="E495" s="199">
        <v>30</v>
      </c>
      <c r="F495" s="199" t="s">
        <v>3846</v>
      </c>
      <c r="G495" s="199" t="s">
        <v>3798</v>
      </c>
      <c r="H495" s="200">
        <v>9300</v>
      </c>
      <c r="I495" s="199" t="s">
        <v>38</v>
      </c>
      <c r="J495" s="199" t="s">
        <v>415</v>
      </c>
      <c r="K495" s="201">
        <v>45423</v>
      </c>
      <c r="L495" s="199" t="s">
        <v>3847</v>
      </c>
      <c r="M495" s="199" t="s">
        <v>3320</v>
      </c>
    </row>
    <row r="496" spans="1:13" ht="71.25">
      <c r="A496" s="199">
        <v>495</v>
      </c>
      <c r="B496" s="199" t="s">
        <v>3854</v>
      </c>
      <c r="C496" s="199" t="s">
        <v>34</v>
      </c>
      <c r="D496" s="199" t="s">
        <v>35</v>
      </c>
      <c r="E496" s="199">
        <v>15</v>
      </c>
      <c r="F496" s="199" t="s">
        <v>3846</v>
      </c>
      <c r="G496" s="199" t="s">
        <v>3798</v>
      </c>
      <c r="H496" s="200">
        <v>4875</v>
      </c>
      <c r="I496" s="199" t="s">
        <v>38</v>
      </c>
      <c r="J496" s="199" t="s">
        <v>415</v>
      </c>
      <c r="K496" s="201">
        <v>45423</v>
      </c>
      <c r="L496" s="199" t="s">
        <v>3847</v>
      </c>
      <c r="M496" s="199" t="s">
        <v>3320</v>
      </c>
    </row>
    <row r="497" spans="1:13" ht="71.25">
      <c r="A497" s="199">
        <v>496</v>
      </c>
      <c r="B497" s="199" t="s">
        <v>3855</v>
      </c>
      <c r="C497" s="199" t="s">
        <v>34</v>
      </c>
      <c r="D497" s="199" t="s">
        <v>35</v>
      </c>
      <c r="E497" s="199">
        <v>15</v>
      </c>
      <c r="F497" s="199" t="s">
        <v>3846</v>
      </c>
      <c r="G497" s="199" t="s">
        <v>3798</v>
      </c>
      <c r="H497" s="200">
        <v>5475</v>
      </c>
      <c r="I497" s="199" t="s">
        <v>38</v>
      </c>
      <c r="J497" s="199" t="s">
        <v>415</v>
      </c>
      <c r="K497" s="201">
        <v>45423</v>
      </c>
      <c r="L497" s="199" t="s">
        <v>3847</v>
      </c>
      <c r="M497" s="199" t="s">
        <v>3320</v>
      </c>
    </row>
    <row r="498" spans="1:13" ht="71.25">
      <c r="A498" s="199">
        <v>497</v>
      </c>
      <c r="B498" s="199" t="s">
        <v>3856</v>
      </c>
      <c r="C498" s="199" t="s">
        <v>34</v>
      </c>
      <c r="D498" s="199" t="s">
        <v>35</v>
      </c>
      <c r="E498" s="199">
        <v>15</v>
      </c>
      <c r="F498" s="199" t="s">
        <v>3846</v>
      </c>
      <c r="G498" s="199" t="s">
        <v>3798</v>
      </c>
      <c r="H498" s="200">
        <v>5475</v>
      </c>
      <c r="I498" s="199" t="s">
        <v>38</v>
      </c>
      <c r="J498" s="199" t="s">
        <v>415</v>
      </c>
      <c r="K498" s="201">
        <v>45423</v>
      </c>
      <c r="L498" s="199" t="s">
        <v>3847</v>
      </c>
      <c r="M498" s="199" t="s">
        <v>3320</v>
      </c>
    </row>
    <row r="499" spans="1:13" ht="71.25">
      <c r="A499" s="199">
        <v>498</v>
      </c>
      <c r="B499" s="199" t="s">
        <v>3857</v>
      </c>
      <c r="C499" s="199" t="s">
        <v>34</v>
      </c>
      <c r="D499" s="199" t="s">
        <v>35</v>
      </c>
      <c r="E499" s="199">
        <v>40</v>
      </c>
      <c r="F499" s="199" t="s">
        <v>3846</v>
      </c>
      <c r="G499" s="199" t="s">
        <v>3798</v>
      </c>
      <c r="H499" s="200">
        <v>17600</v>
      </c>
      <c r="I499" s="199" t="s">
        <v>38</v>
      </c>
      <c r="J499" s="199" t="s">
        <v>415</v>
      </c>
      <c r="K499" s="201">
        <v>45423</v>
      </c>
      <c r="L499" s="199" t="s">
        <v>3847</v>
      </c>
      <c r="M499" s="199" t="s">
        <v>3320</v>
      </c>
    </row>
    <row r="500" spans="1:13" ht="71.25">
      <c r="A500" s="199">
        <v>499</v>
      </c>
      <c r="B500" s="199" t="s">
        <v>3858</v>
      </c>
      <c r="C500" s="199" t="s">
        <v>34</v>
      </c>
      <c r="D500" s="199" t="s">
        <v>35</v>
      </c>
      <c r="E500" s="199">
        <v>15</v>
      </c>
      <c r="F500" s="199" t="s">
        <v>3846</v>
      </c>
      <c r="G500" s="199" t="s">
        <v>3798</v>
      </c>
      <c r="H500" s="200">
        <v>5850</v>
      </c>
      <c r="I500" s="199" t="s">
        <v>38</v>
      </c>
      <c r="J500" s="199" t="s">
        <v>415</v>
      </c>
      <c r="K500" s="201">
        <v>45423</v>
      </c>
      <c r="L500" s="199" t="s">
        <v>3847</v>
      </c>
      <c r="M500" s="199" t="s">
        <v>3320</v>
      </c>
    </row>
    <row r="501" spans="1:13" ht="71.25">
      <c r="A501" s="199">
        <v>500</v>
      </c>
      <c r="B501" s="199" t="s">
        <v>3859</v>
      </c>
      <c r="C501" s="199" t="s">
        <v>34</v>
      </c>
      <c r="D501" s="199" t="s">
        <v>35</v>
      </c>
      <c r="E501" s="199">
        <v>15</v>
      </c>
      <c r="F501" s="199" t="s">
        <v>3846</v>
      </c>
      <c r="G501" s="199" t="s">
        <v>3798</v>
      </c>
      <c r="H501" s="200">
        <v>5100</v>
      </c>
      <c r="I501" s="199" t="s">
        <v>38</v>
      </c>
      <c r="J501" s="199" t="s">
        <v>415</v>
      </c>
      <c r="K501" s="201">
        <v>45423</v>
      </c>
      <c r="L501" s="199" t="s">
        <v>3847</v>
      </c>
      <c r="M501" s="199" t="s">
        <v>3320</v>
      </c>
    </row>
    <row r="502" spans="1:13" ht="71.25">
      <c r="A502" s="199">
        <v>501</v>
      </c>
      <c r="B502" s="199" t="s">
        <v>3860</v>
      </c>
      <c r="C502" s="199" t="s">
        <v>34</v>
      </c>
      <c r="D502" s="199" t="s">
        <v>35</v>
      </c>
      <c r="E502" s="199">
        <v>15</v>
      </c>
      <c r="F502" s="199" t="s">
        <v>3846</v>
      </c>
      <c r="G502" s="199" t="s">
        <v>3798</v>
      </c>
      <c r="H502" s="200">
        <v>5100</v>
      </c>
      <c r="I502" s="199" t="s">
        <v>38</v>
      </c>
      <c r="J502" s="199" t="s">
        <v>415</v>
      </c>
      <c r="K502" s="201">
        <v>45423</v>
      </c>
      <c r="L502" s="199" t="s">
        <v>3847</v>
      </c>
      <c r="M502" s="199" t="s">
        <v>3320</v>
      </c>
    </row>
    <row r="503" spans="1:13" ht="71.25">
      <c r="A503" s="199">
        <v>502</v>
      </c>
      <c r="B503" s="199" t="s">
        <v>3861</v>
      </c>
      <c r="C503" s="199" t="s">
        <v>34</v>
      </c>
      <c r="D503" s="199" t="s">
        <v>35</v>
      </c>
      <c r="E503" s="199">
        <v>15</v>
      </c>
      <c r="F503" s="199" t="s">
        <v>3846</v>
      </c>
      <c r="G503" s="199" t="s">
        <v>3798</v>
      </c>
      <c r="H503" s="200">
        <v>9750</v>
      </c>
      <c r="I503" s="199" t="s">
        <v>38</v>
      </c>
      <c r="J503" s="199" t="s">
        <v>415</v>
      </c>
      <c r="K503" s="201">
        <v>45423</v>
      </c>
      <c r="L503" s="199" t="s">
        <v>3847</v>
      </c>
      <c r="M503" s="199" t="s">
        <v>3320</v>
      </c>
    </row>
    <row r="504" spans="1:13" ht="71.25">
      <c r="A504" s="199">
        <v>503</v>
      </c>
      <c r="B504" s="199" t="s">
        <v>3862</v>
      </c>
      <c r="C504" s="199" t="s">
        <v>34</v>
      </c>
      <c r="D504" s="199" t="s">
        <v>35</v>
      </c>
      <c r="E504" s="199">
        <v>15</v>
      </c>
      <c r="F504" s="199" t="s">
        <v>3846</v>
      </c>
      <c r="G504" s="199" t="s">
        <v>3798</v>
      </c>
      <c r="H504" s="200">
        <v>19125</v>
      </c>
      <c r="I504" s="199" t="s">
        <v>38</v>
      </c>
      <c r="J504" s="199" t="s">
        <v>415</v>
      </c>
      <c r="K504" s="201">
        <v>45423</v>
      </c>
      <c r="L504" s="199" t="s">
        <v>3847</v>
      </c>
      <c r="M504" s="199" t="s">
        <v>3320</v>
      </c>
    </row>
    <row r="505" spans="1:13" ht="71.25">
      <c r="A505" s="199">
        <v>504</v>
      </c>
      <c r="B505" s="199" t="s">
        <v>3863</v>
      </c>
      <c r="C505" s="199" t="s">
        <v>34</v>
      </c>
      <c r="D505" s="199" t="s">
        <v>35</v>
      </c>
      <c r="E505" s="199">
        <v>15</v>
      </c>
      <c r="F505" s="199" t="s">
        <v>3846</v>
      </c>
      <c r="G505" s="199" t="s">
        <v>3798</v>
      </c>
      <c r="H505" s="200">
        <v>17400</v>
      </c>
      <c r="I505" s="199" t="s">
        <v>38</v>
      </c>
      <c r="J505" s="199" t="s">
        <v>415</v>
      </c>
      <c r="K505" s="201">
        <v>45423</v>
      </c>
      <c r="L505" s="199" t="s">
        <v>3847</v>
      </c>
      <c r="M505" s="199" t="s">
        <v>3320</v>
      </c>
    </row>
    <row r="506" spans="1:13" ht="71.25">
      <c r="A506" s="199">
        <v>505</v>
      </c>
      <c r="B506" s="199" t="s">
        <v>3864</v>
      </c>
      <c r="C506" s="199" t="s">
        <v>34</v>
      </c>
      <c r="D506" s="199" t="s">
        <v>35</v>
      </c>
      <c r="E506" s="199">
        <v>15</v>
      </c>
      <c r="F506" s="199" t="s">
        <v>3846</v>
      </c>
      <c r="G506" s="199" t="s">
        <v>3798</v>
      </c>
      <c r="H506" s="200">
        <v>18375</v>
      </c>
      <c r="I506" s="199" t="s">
        <v>38</v>
      </c>
      <c r="J506" s="199" t="s">
        <v>415</v>
      </c>
      <c r="K506" s="201">
        <v>45423</v>
      </c>
      <c r="L506" s="199" t="s">
        <v>3847</v>
      </c>
      <c r="M506" s="199" t="s">
        <v>3320</v>
      </c>
    </row>
    <row r="507" spans="1:13" ht="71.25">
      <c r="A507" s="199">
        <v>506</v>
      </c>
      <c r="B507" s="199" t="s">
        <v>3865</v>
      </c>
      <c r="C507" s="199" t="s">
        <v>34</v>
      </c>
      <c r="D507" s="199" t="s">
        <v>35</v>
      </c>
      <c r="E507" s="199">
        <v>20</v>
      </c>
      <c r="F507" s="199" t="s">
        <v>3846</v>
      </c>
      <c r="G507" s="199" t="s">
        <v>3798</v>
      </c>
      <c r="H507" s="200">
        <v>6500</v>
      </c>
      <c r="I507" s="199" t="s">
        <v>38</v>
      </c>
      <c r="J507" s="199" t="s">
        <v>415</v>
      </c>
      <c r="K507" s="201">
        <v>45423</v>
      </c>
      <c r="L507" s="199" t="s">
        <v>3847</v>
      </c>
      <c r="M507" s="199" t="s">
        <v>3320</v>
      </c>
    </row>
    <row r="508" spans="1:13" ht="71.25">
      <c r="A508" s="199">
        <v>507</v>
      </c>
      <c r="B508" s="199" t="s">
        <v>3866</v>
      </c>
      <c r="C508" s="199" t="s">
        <v>34</v>
      </c>
      <c r="D508" s="199" t="s">
        <v>35</v>
      </c>
      <c r="E508" s="199">
        <v>15</v>
      </c>
      <c r="F508" s="199" t="s">
        <v>3846</v>
      </c>
      <c r="G508" s="199" t="s">
        <v>3798</v>
      </c>
      <c r="H508" s="200">
        <v>5700</v>
      </c>
      <c r="I508" s="199" t="s">
        <v>38</v>
      </c>
      <c r="J508" s="199" t="s">
        <v>415</v>
      </c>
      <c r="K508" s="201">
        <v>45423</v>
      </c>
      <c r="L508" s="199" t="s">
        <v>3847</v>
      </c>
      <c r="M508" s="199" t="s">
        <v>3320</v>
      </c>
    </row>
    <row r="509" spans="1:13" ht="71.25">
      <c r="A509" s="199">
        <v>508</v>
      </c>
      <c r="B509" s="199" t="s">
        <v>3867</v>
      </c>
      <c r="C509" s="199" t="s">
        <v>34</v>
      </c>
      <c r="D509" s="199" t="s">
        <v>35</v>
      </c>
      <c r="E509" s="199">
        <v>15</v>
      </c>
      <c r="F509" s="199" t="s">
        <v>3846</v>
      </c>
      <c r="G509" s="199" t="s">
        <v>3798</v>
      </c>
      <c r="H509" s="200">
        <v>4200</v>
      </c>
      <c r="I509" s="199" t="s">
        <v>38</v>
      </c>
      <c r="J509" s="199" t="s">
        <v>415</v>
      </c>
      <c r="K509" s="201">
        <v>45423</v>
      </c>
      <c r="L509" s="199" t="s">
        <v>3847</v>
      </c>
      <c r="M509" s="199" t="s">
        <v>3320</v>
      </c>
    </row>
    <row r="510" spans="1:13" ht="71.25">
      <c r="A510" s="199">
        <v>509</v>
      </c>
      <c r="B510" s="199" t="s">
        <v>3868</v>
      </c>
      <c r="C510" s="199" t="s">
        <v>34</v>
      </c>
      <c r="D510" s="199" t="s">
        <v>35</v>
      </c>
      <c r="E510" s="199">
        <v>15</v>
      </c>
      <c r="F510" s="199" t="s">
        <v>3846</v>
      </c>
      <c r="G510" s="199" t="s">
        <v>3798</v>
      </c>
      <c r="H510" s="200">
        <v>4500</v>
      </c>
      <c r="I510" s="199" t="s">
        <v>38</v>
      </c>
      <c r="J510" s="199" t="s">
        <v>415</v>
      </c>
      <c r="K510" s="201">
        <v>45423</v>
      </c>
      <c r="L510" s="199" t="s">
        <v>3847</v>
      </c>
      <c r="M510" s="199" t="s">
        <v>3320</v>
      </c>
    </row>
    <row r="511" spans="1:13" ht="71.25">
      <c r="A511" s="199">
        <v>510</v>
      </c>
      <c r="B511" s="199" t="s">
        <v>3869</v>
      </c>
      <c r="C511" s="199" t="s">
        <v>34</v>
      </c>
      <c r="D511" s="199" t="s">
        <v>35</v>
      </c>
      <c r="E511" s="199">
        <v>15</v>
      </c>
      <c r="F511" s="199" t="s">
        <v>3846</v>
      </c>
      <c r="G511" s="199" t="s">
        <v>3798</v>
      </c>
      <c r="H511" s="200">
        <v>3900</v>
      </c>
      <c r="I511" s="199" t="s">
        <v>38</v>
      </c>
      <c r="J511" s="199" t="s">
        <v>415</v>
      </c>
      <c r="K511" s="201">
        <v>45423</v>
      </c>
      <c r="L511" s="199" t="s">
        <v>3847</v>
      </c>
      <c r="M511" s="199" t="s">
        <v>3320</v>
      </c>
    </row>
    <row r="512" spans="1:13" ht="71.25">
      <c r="A512" s="199">
        <v>511</v>
      </c>
      <c r="B512" s="199" t="s">
        <v>3870</v>
      </c>
      <c r="C512" s="199" t="s">
        <v>34</v>
      </c>
      <c r="D512" s="199" t="s">
        <v>35</v>
      </c>
      <c r="E512" s="199">
        <v>15</v>
      </c>
      <c r="F512" s="199" t="s">
        <v>3846</v>
      </c>
      <c r="G512" s="199" t="s">
        <v>3798</v>
      </c>
      <c r="H512" s="200">
        <v>10800</v>
      </c>
      <c r="I512" s="199" t="s">
        <v>38</v>
      </c>
      <c r="J512" s="199" t="s">
        <v>415</v>
      </c>
      <c r="K512" s="201">
        <v>45423</v>
      </c>
      <c r="L512" s="199" t="s">
        <v>3847</v>
      </c>
      <c r="M512" s="199" t="s">
        <v>3320</v>
      </c>
    </row>
    <row r="513" spans="1:13" ht="71.25">
      <c r="A513" s="199">
        <v>512</v>
      </c>
      <c r="B513" s="199" t="s">
        <v>3871</v>
      </c>
      <c r="C513" s="199" t="s">
        <v>34</v>
      </c>
      <c r="D513" s="199" t="s">
        <v>35</v>
      </c>
      <c r="E513" s="199">
        <v>15</v>
      </c>
      <c r="F513" s="199" t="s">
        <v>3846</v>
      </c>
      <c r="G513" s="199" t="s">
        <v>3798</v>
      </c>
      <c r="H513" s="200">
        <v>3900</v>
      </c>
      <c r="I513" s="199" t="s">
        <v>38</v>
      </c>
      <c r="J513" s="199" t="s">
        <v>415</v>
      </c>
      <c r="K513" s="201">
        <v>45423</v>
      </c>
      <c r="L513" s="199" t="s">
        <v>3847</v>
      </c>
      <c r="M513" s="199" t="s">
        <v>3320</v>
      </c>
    </row>
    <row r="514" spans="1:13" ht="71.25">
      <c r="A514" s="199">
        <v>513</v>
      </c>
      <c r="B514" s="199" t="s">
        <v>3872</v>
      </c>
      <c r="C514" s="199" t="s">
        <v>34</v>
      </c>
      <c r="D514" s="199" t="s">
        <v>35</v>
      </c>
      <c r="E514" s="199">
        <v>15</v>
      </c>
      <c r="F514" s="199" t="s">
        <v>3846</v>
      </c>
      <c r="G514" s="199" t="s">
        <v>3798</v>
      </c>
      <c r="H514" s="200">
        <v>10650</v>
      </c>
      <c r="I514" s="199" t="s">
        <v>38</v>
      </c>
      <c r="J514" s="199" t="s">
        <v>415</v>
      </c>
      <c r="K514" s="201">
        <v>45423</v>
      </c>
      <c r="L514" s="199" t="s">
        <v>3847</v>
      </c>
      <c r="M514" s="199" t="s">
        <v>3320</v>
      </c>
    </row>
    <row r="515" spans="1:13" ht="71.25">
      <c r="A515" s="199">
        <v>514</v>
      </c>
      <c r="B515" s="199" t="s">
        <v>3873</v>
      </c>
      <c r="C515" s="199" t="s">
        <v>34</v>
      </c>
      <c r="D515" s="199" t="s">
        <v>35</v>
      </c>
      <c r="E515" s="199">
        <v>30</v>
      </c>
      <c r="F515" s="199" t="s">
        <v>3846</v>
      </c>
      <c r="G515" s="199" t="s">
        <v>3798</v>
      </c>
      <c r="H515" s="200">
        <v>102000</v>
      </c>
      <c r="I515" s="199" t="s">
        <v>38</v>
      </c>
      <c r="J515" s="199" t="s">
        <v>415</v>
      </c>
      <c r="K515" s="201">
        <v>45423</v>
      </c>
      <c r="L515" s="199" t="s">
        <v>3847</v>
      </c>
      <c r="M515" s="199" t="s">
        <v>3320</v>
      </c>
    </row>
    <row r="516" spans="1:13" ht="71.25">
      <c r="A516" s="199">
        <v>515</v>
      </c>
      <c r="B516" s="199" t="s">
        <v>3874</v>
      </c>
      <c r="C516" s="199" t="s">
        <v>34</v>
      </c>
      <c r="D516" s="199" t="s">
        <v>35</v>
      </c>
      <c r="E516" s="199">
        <v>15</v>
      </c>
      <c r="F516" s="199" t="s">
        <v>3846</v>
      </c>
      <c r="G516" s="199" t="s">
        <v>3798</v>
      </c>
      <c r="H516" s="200">
        <v>12000</v>
      </c>
      <c r="I516" s="199" t="s">
        <v>38</v>
      </c>
      <c r="J516" s="199" t="s">
        <v>415</v>
      </c>
      <c r="K516" s="201">
        <v>45423</v>
      </c>
      <c r="L516" s="199" t="s">
        <v>3847</v>
      </c>
      <c r="M516" s="199" t="s">
        <v>3320</v>
      </c>
    </row>
    <row r="517" spans="1:13" ht="71.25">
      <c r="A517" s="199">
        <v>516</v>
      </c>
      <c r="B517" s="199" t="s">
        <v>3875</v>
      </c>
      <c r="C517" s="199" t="s">
        <v>34</v>
      </c>
      <c r="D517" s="199" t="s">
        <v>35</v>
      </c>
      <c r="E517" s="199">
        <v>15</v>
      </c>
      <c r="F517" s="199" t="s">
        <v>3846</v>
      </c>
      <c r="G517" s="199" t="s">
        <v>3798</v>
      </c>
      <c r="H517" s="200">
        <v>12000</v>
      </c>
      <c r="I517" s="199" t="s">
        <v>38</v>
      </c>
      <c r="J517" s="199" t="s">
        <v>415</v>
      </c>
      <c r="K517" s="201">
        <v>45423</v>
      </c>
      <c r="L517" s="199" t="s">
        <v>3847</v>
      </c>
      <c r="M517" s="199" t="s">
        <v>3320</v>
      </c>
    </row>
    <row r="518" spans="1:13" ht="71.25">
      <c r="A518" s="199">
        <v>517</v>
      </c>
      <c r="B518" s="199" t="s">
        <v>3876</v>
      </c>
      <c r="C518" s="199" t="s">
        <v>34</v>
      </c>
      <c r="D518" s="199" t="s">
        <v>35</v>
      </c>
      <c r="E518" s="199">
        <v>15</v>
      </c>
      <c r="F518" s="199" t="s">
        <v>3846</v>
      </c>
      <c r="G518" s="199" t="s">
        <v>3798</v>
      </c>
      <c r="H518" s="200">
        <v>21000</v>
      </c>
      <c r="I518" s="199" t="s">
        <v>38</v>
      </c>
      <c r="J518" s="199" t="s">
        <v>415</v>
      </c>
      <c r="K518" s="201">
        <v>45423</v>
      </c>
      <c r="L518" s="199" t="s">
        <v>3847</v>
      </c>
      <c r="M518" s="199" t="s">
        <v>3320</v>
      </c>
    </row>
    <row r="519" spans="1:13" ht="71.25">
      <c r="A519" s="199">
        <v>518</v>
      </c>
      <c r="B519" s="199" t="s">
        <v>3877</v>
      </c>
      <c r="C519" s="199" t="s">
        <v>34</v>
      </c>
      <c r="D519" s="199" t="s">
        <v>35</v>
      </c>
      <c r="E519" s="199">
        <v>15</v>
      </c>
      <c r="F519" s="199" t="s">
        <v>3846</v>
      </c>
      <c r="G519" s="199" t="s">
        <v>3798</v>
      </c>
      <c r="H519" s="200">
        <v>8100</v>
      </c>
      <c r="I519" s="199" t="s">
        <v>38</v>
      </c>
      <c r="J519" s="199" t="s">
        <v>415</v>
      </c>
      <c r="K519" s="201">
        <v>45423</v>
      </c>
      <c r="L519" s="199" t="s">
        <v>3847</v>
      </c>
      <c r="M519" s="199" t="s">
        <v>3320</v>
      </c>
    </row>
    <row r="520" spans="1:13" ht="71.25">
      <c r="A520" s="199">
        <v>519</v>
      </c>
      <c r="B520" s="199" t="s">
        <v>3878</v>
      </c>
      <c r="C520" s="199" t="s">
        <v>34</v>
      </c>
      <c r="D520" s="199" t="s">
        <v>35</v>
      </c>
      <c r="E520" s="199">
        <v>6</v>
      </c>
      <c r="F520" s="199" t="s">
        <v>3846</v>
      </c>
      <c r="G520" s="199" t="s">
        <v>3798</v>
      </c>
      <c r="H520" s="200">
        <v>2760</v>
      </c>
      <c r="I520" s="199" t="s">
        <v>38</v>
      </c>
      <c r="J520" s="199" t="s">
        <v>415</v>
      </c>
      <c r="K520" s="201">
        <v>45423</v>
      </c>
      <c r="L520" s="199" t="s">
        <v>3847</v>
      </c>
      <c r="M520" s="199" t="s">
        <v>3320</v>
      </c>
    </row>
    <row r="521" spans="1:13" ht="71.25">
      <c r="A521" s="199">
        <v>520</v>
      </c>
      <c r="B521" s="199" t="s">
        <v>3879</v>
      </c>
      <c r="C521" s="199" t="s">
        <v>34</v>
      </c>
      <c r="D521" s="199" t="s">
        <v>35</v>
      </c>
      <c r="E521" s="199">
        <v>20</v>
      </c>
      <c r="F521" s="199" t="s">
        <v>3846</v>
      </c>
      <c r="G521" s="199" t="s">
        <v>3798</v>
      </c>
      <c r="H521" s="200">
        <v>7200</v>
      </c>
      <c r="I521" s="199" t="s">
        <v>38</v>
      </c>
      <c r="J521" s="199" t="s">
        <v>415</v>
      </c>
      <c r="K521" s="201">
        <v>45423</v>
      </c>
      <c r="L521" s="199" t="s">
        <v>3847</v>
      </c>
      <c r="M521" s="199" t="s">
        <v>3320</v>
      </c>
    </row>
    <row r="522" spans="1:13" ht="71.25">
      <c r="A522" s="199">
        <v>521</v>
      </c>
      <c r="B522" s="199" t="s">
        <v>3880</v>
      </c>
      <c r="C522" s="199" t="s">
        <v>34</v>
      </c>
      <c r="D522" s="199" t="s">
        <v>35</v>
      </c>
      <c r="E522" s="199">
        <v>20</v>
      </c>
      <c r="F522" s="199" t="s">
        <v>3846</v>
      </c>
      <c r="G522" s="199" t="s">
        <v>3798</v>
      </c>
      <c r="H522" s="200">
        <v>5200</v>
      </c>
      <c r="I522" s="199" t="s">
        <v>38</v>
      </c>
      <c r="J522" s="199" t="s">
        <v>415</v>
      </c>
      <c r="K522" s="201">
        <v>45423</v>
      </c>
      <c r="L522" s="199" t="s">
        <v>3847</v>
      </c>
      <c r="M522" s="199" t="s">
        <v>3320</v>
      </c>
    </row>
    <row r="523" spans="1:13" ht="71.25">
      <c r="A523" s="199">
        <v>522</v>
      </c>
      <c r="B523" s="199" t="s">
        <v>3881</v>
      </c>
      <c r="C523" s="199" t="s">
        <v>34</v>
      </c>
      <c r="D523" s="199" t="s">
        <v>35</v>
      </c>
      <c r="E523" s="199">
        <v>10</v>
      </c>
      <c r="F523" s="199" t="s">
        <v>3846</v>
      </c>
      <c r="G523" s="199" t="s">
        <v>3798</v>
      </c>
      <c r="H523" s="200">
        <v>25115</v>
      </c>
      <c r="I523" s="199" t="s">
        <v>38</v>
      </c>
      <c r="J523" s="199" t="s">
        <v>415</v>
      </c>
      <c r="K523" s="201">
        <v>45423</v>
      </c>
      <c r="L523" s="199" t="s">
        <v>3847</v>
      </c>
      <c r="M523" s="199" t="s">
        <v>3320</v>
      </c>
    </row>
    <row r="524" spans="1:13" ht="71.25">
      <c r="A524" s="199">
        <v>523</v>
      </c>
      <c r="B524" s="199" t="s">
        <v>3882</v>
      </c>
      <c r="C524" s="199" t="s">
        <v>34</v>
      </c>
      <c r="D524" s="199" t="s">
        <v>35</v>
      </c>
      <c r="E524" s="199">
        <v>15</v>
      </c>
      <c r="F524" s="199" t="s">
        <v>3846</v>
      </c>
      <c r="G524" s="199" t="s">
        <v>3798</v>
      </c>
      <c r="H524" s="200">
        <v>18000</v>
      </c>
      <c r="I524" s="199" t="s">
        <v>38</v>
      </c>
      <c r="J524" s="199" t="s">
        <v>415</v>
      </c>
      <c r="K524" s="201">
        <v>45423</v>
      </c>
      <c r="L524" s="199" t="s">
        <v>3847</v>
      </c>
      <c r="M524" s="199" t="s">
        <v>3320</v>
      </c>
    </row>
    <row r="525" spans="1:13" ht="85.5">
      <c r="A525" s="199">
        <v>524</v>
      </c>
      <c r="B525" s="199" t="s">
        <v>3883</v>
      </c>
      <c r="C525" s="199" t="s">
        <v>2552</v>
      </c>
      <c r="D525" s="199" t="s">
        <v>17</v>
      </c>
      <c r="E525" s="202">
        <v>12</v>
      </c>
      <c r="F525" s="199" t="s">
        <v>3801</v>
      </c>
      <c r="G525" s="199" t="s">
        <v>3798</v>
      </c>
      <c r="H525" s="200">
        <v>276000</v>
      </c>
      <c r="I525" s="199" t="s">
        <v>38</v>
      </c>
      <c r="J525" s="199" t="s">
        <v>415</v>
      </c>
      <c r="K525" s="201">
        <v>45390</v>
      </c>
      <c r="L525" s="199" t="s">
        <v>3884</v>
      </c>
      <c r="M525" s="199" t="s">
        <v>3320</v>
      </c>
    </row>
    <row r="526" spans="1:13" ht="99.75">
      <c r="A526" s="199">
        <v>525</v>
      </c>
      <c r="B526" s="199" t="s">
        <v>3885</v>
      </c>
      <c r="C526" s="199" t="s">
        <v>2552</v>
      </c>
      <c r="D526" s="199" t="s">
        <v>17</v>
      </c>
      <c r="E526" s="202">
        <v>12</v>
      </c>
      <c r="F526" s="199" t="s">
        <v>3801</v>
      </c>
      <c r="G526" s="199" t="s">
        <v>3798</v>
      </c>
      <c r="H526" s="200">
        <v>239064</v>
      </c>
      <c r="I526" s="199" t="s">
        <v>38</v>
      </c>
      <c r="J526" s="199" t="s">
        <v>415</v>
      </c>
      <c r="K526" s="201">
        <v>45390</v>
      </c>
      <c r="L526" s="199" t="s">
        <v>3886</v>
      </c>
      <c r="M526" s="199" t="s">
        <v>3320</v>
      </c>
    </row>
    <row r="527" spans="1:13" ht="71.25">
      <c r="A527" s="199">
        <v>526</v>
      </c>
      <c r="B527" s="199" t="s">
        <v>3887</v>
      </c>
      <c r="C527" s="199" t="s">
        <v>25</v>
      </c>
      <c r="D527" s="199" t="s">
        <v>17</v>
      </c>
      <c r="E527" s="199">
        <v>280</v>
      </c>
      <c r="F527" s="199" t="s">
        <v>3385</v>
      </c>
      <c r="G527" s="199" t="s">
        <v>3798</v>
      </c>
      <c r="H527" s="200">
        <v>25200</v>
      </c>
      <c r="I527" s="199" t="s">
        <v>38</v>
      </c>
      <c r="J527" s="199" t="s">
        <v>415</v>
      </c>
      <c r="K527" s="201">
        <v>45627</v>
      </c>
      <c r="L527" s="199" t="s">
        <v>3888</v>
      </c>
      <c r="M527" s="199" t="s">
        <v>3320</v>
      </c>
    </row>
    <row r="528" spans="1:13" ht="128.25">
      <c r="A528" s="199">
        <v>527</v>
      </c>
      <c r="B528" s="199" t="s">
        <v>3889</v>
      </c>
      <c r="C528" s="199" t="s">
        <v>25</v>
      </c>
      <c r="D528" s="199" t="s">
        <v>17</v>
      </c>
      <c r="E528" s="199">
        <v>12</v>
      </c>
      <c r="F528" s="199" t="s">
        <v>3801</v>
      </c>
      <c r="G528" s="199" t="s">
        <v>3798</v>
      </c>
      <c r="H528" s="200">
        <v>7360.92</v>
      </c>
      <c r="I528" s="199" t="s">
        <v>38</v>
      </c>
      <c r="J528" s="199" t="s">
        <v>415</v>
      </c>
      <c r="K528" s="201">
        <v>44130</v>
      </c>
      <c r="L528" s="199" t="s">
        <v>3890</v>
      </c>
      <c r="M528" s="199" t="s">
        <v>3320</v>
      </c>
    </row>
    <row r="529" spans="1:13" ht="409.5">
      <c r="A529" s="199">
        <v>528</v>
      </c>
      <c r="B529" s="199" t="s">
        <v>3891</v>
      </c>
      <c r="C529" s="199" t="s">
        <v>2552</v>
      </c>
      <c r="D529" s="199"/>
      <c r="E529" s="199">
        <v>12</v>
      </c>
      <c r="F529" s="199" t="s">
        <v>3801</v>
      </c>
      <c r="G529" s="199" t="s">
        <v>3798</v>
      </c>
      <c r="H529" s="200">
        <v>184248</v>
      </c>
      <c r="I529" s="199" t="s">
        <v>38</v>
      </c>
      <c r="J529" s="199" t="s">
        <v>415</v>
      </c>
      <c r="K529" s="201">
        <v>43435</v>
      </c>
      <c r="L529" s="199" t="s">
        <v>38</v>
      </c>
      <c r="M529" s="199" t="s">
        <v>3320</v>
      </c>
    </row>
    <row r="530" spans="1:13" ht="128.25">
      <c r="A530" s="199">
        <v>529</v>
      </c>
      <c r="B530" s="199" t="s">
        <v>3892</v>
      </c>
      <c r="C530" s="199" t="s">
        <v>25</v>
      </c>
      <c r="D530" s="199" t="s">
        <v>17</v>
      </c>
      <c r="E530" s="199">
        <v>1801.32</v>
      </c>
      <c r="F530" s="199" t="s">
        <v>75</v>
      </c>
      <c r="G530" s="199" t="s">
        <v>3893</v>
      </c>
      <c r="H530" s="200">
        <v>11879.17</v>
      </c>
      <c r="I530" s="199" t="s">
        <v>20</v>
      </c>
      <c r="J530" s="199" t="s">
        <v>415</v>
      </c>
      <c r="K530" s="201">
        <v>45352</v>
      </c>
      <c r="L530" s="199" t="s">
        <v>3894</v>
      </c>
      <c r="M530" s="199" t="s">
        <v>3320</v>
      </c>
    </row>
    <row r="531" spans="1:13" ht="128.25">
      <c r="A531" s="199">
        <v>530</v>
      </c>
      <c r="B531" s="199" t="s">
        <v>3895</v>
      </c>
      <c r="C531" s="199" t="s">
        <v>25</v>
      </c>
      <c r="D531" s="199" t="s">
        <v>17</v>
      </c>
      <c r="E531" s="199">
        <v>10393.56</v>
      </c>
      <c r="F531" s="199" t="s">
        <v>75</v>
      </c>
      <c r="G531" s="199" t="s">
        <v>3893</v>
      </c>
      <c r="H531" s="200">
        <v>68544.490000000005</v>
      </c>
      <c r="I531" s="199" t="s">
        <v>20</v>
      </c>
      <c r="J531" s="199" t="s">
        <v>415</v>
      </c>
      <c r="K531" s="201">
        <v>45352</v>
      </c>
      <c r="L531" s="199" t="s">
        <v>3894</v>
      </c>
      <c r="M531" s="199" t="s">
        <v>3320</v>
      </c>
    </row>
    <row r="532" spans="1:13" ht="128.25">
      <c r="A532" s="199">
        <v>531</v>
      </c>
      <c r="B532" s="199" t="s">
        <v>3896</v>
      </c>
      <c r="C532" s="199" t="s">
        <v>25</v>
      </c>
      <c r="D532" s="199" t="s">
        <v>17</v>
      </c>
      <c r="E532" s="199">
        <v>604.79999999999995</v>
      </c>
      <c r="F532" s="199" t="s">
        <v>75</v>
      </c>
      <c r="G532" s="199" t="s">
        <v>3893</v>
      </c>
      <c r="H532" s="200">
        <v>2828.71</v>
      </c>
      <c r="I532" s="199" t="s">
        <v>20</v>
      </c>
      <c r="J532" s="199" t="s">
        <v>415</v>
      </c>
      <c r="K532" s="201">
        <v>45352</v>
      </c>
      <c r="L532" s="199" t="s">
        <v>3894</v>
      </c>
      <c r="M532" s="199" t="s">
        <v>3320</v>
      </c>
    </row>
    <row r="533" spans="1:13" ht="142.5">
      <c r="A533" s="199">
        <v>532</v>
      </c>
      <c r="B533" s="199" t="s">
        <v>3897</v>
      </c>
      <c r="C533" s="199" t="s">
        <v>25</v>
      </c>
      <c r="D533" s="199" t="s">
        <v>17</v>
      </c>
      <c r="E533" s="199">
        <v>6681.96</v>
      </c>
      <c r="F533" s="199" t="s">
        <v>75</v>
      </c>
      <c r="G533" s="199" t="s">
        <v>3893</v>
      </c>
      <c r="H533" s="200">
        <v>38284.28</v>
      </c>
      <c r="I533" s="199" t="s">
        <v>20</v>
      </c>
      <c r="J533" s="199" t="s">
        <v>415</v>
      </c>
      <c r="K533" s="201">
        <v>45352</v>
      </c>
      <c r="L533" s="199" t="s">
        <v>3894</v>
      </c>
      <c r="M533" s="199" t="s">
        <v>3320</v>
      </c>
    </row>
    <row r="534" spans="1:13" ht="185.25">
      <c r="A534" s="199">
        <v>533</v>
      </c>
      <c r="B534" s="199" t="s">
        <v>3898</v>
      </c>
      <c r="C534" s="199" t="s">
        <v>25</v>
      </c>
      <c r="D534" s="199" t="s">
        <v>17</v>
      </c>
      <c r="E534" s="199">
        <v>1113.3599999999999</v>
      </c>
      <c r="F534" s="199" t="s">
        <v>75</v>
      </c>
      <c r="G534" s="199" t="s">
        <v>3893</v>
      </c>
      <c r="H534" s="200">
        <v>8188.42</v>
      </c>
      <c r="I534" s="199" t="s">
        <v>20</v>
      </c>
      <c r="J534" s="199" t="s">
        <v>415</v>
      </c>
      <c r="K534" s="201">
        <v>45352</v>
      </c>
      <c r="L534" s="199" t="s">
        <v>3894</v>
      </c>
      <c r="M534" s="199" t="s">
        <v>3320</v>
      </c>
    </row>
    <row r="535" spans="1:13" ht="171">
      <c r="A535" s="199">
        <v>534</v>
      </c>
      <c r="B535" s="199" t="s">
        <v>3899</v>
      </c>
      <c r="C535" s="199" t="s">
        <v>25</v>
      </c>
      <c r="D535" s="199" t="s">
        <v>17</v>
      </c>
      <c r="E535" s="199">
        <v>2638.08</v>
      </c>
      <c r="F535" s="199" t="s">
        <v>75</v>
      </c>
      <c r="G535" s="199" t="s">
        <v>3893</v>
      </c>
      <c r="H535" s="200">
        <v>12893.62</v>
      </c>
      <c r="I535" s="199" t="s">
        <v>20</v>
      </c>
      <c r="J535" s="199" t="s">
        <v>415</v>
      </c>
      <c r="K535" s="201">
        <v>45352</v>
      </c>
      <c r="L535" s="199" t="s">
        <v>3894</v>
      </c>
      <c r="M535" s="199" t="s">
        <v>3320</v>
      </c>
    </row>
    <row r="536" spans="1:13" ht="142.5">
      <c r="A536" s="199">
        <v>535</v>
      </c>
      <c r="B536" s="199" t="s">
        <v>3900</v>
      </c>
      <c r="C536" s="199" t="s">
        <v>25</v>
      </c>
      <c r="D536" s="199" t="s">
        <v>17</v>
      </c>
      <c r="E536" s="199">
        <v>38927.040000000001</v>
      </c>
      <c r="F536" s="199" t="s">
        <v>75</v>
      </c>
      <c r="G536" s="199" t="s">
        <v>3893</v>
      </c>
      <c r="H536" s="200">
        <v>136552.16</v>
      </c>
      <c r="I536" s="199" t="s">
        <v>20</v>
      </c>
      <c r="J536" s="199" t="s">
        <v>415</v>
      </c>
      <c r="K536" s="201">
        <v>45352</v>
      </c>
      <c r="L536" s="199" t="s">
        <v>3894</v>
      </c>
      <c r="M536" s="199" t="s">
        <v>3320</v>
      </c>
    </row>
    <row r="537" spans="1:13" ht="142.5">
      <c r="A537" s="199">
        <v>536</v>
      </c>
      <c r="B537" s="199" t="s">
        <v>3901</v>
      </c>
      <c r="C537" s="199" t="s">
        <v>25</v>
      </c>
      <c r="D537" s="199" t="s">
        <v>17</v>
      </c>
      <c r="E537" s="199">
        <v>5883.6</v>
      </c>
      <c r="F537" s="199" t="s">
        <v>75</v>
      </c>
      <c r="G537" s="199" t="s">
        <v>3893</v>
      </c>
      <c r="H537" s="200">
        <v>24835.26</v>
      </c>
      <c r="I537" s="199" t="s">
        <v>20</v>
      </c>
      <c r="J537" s="199" t="s">
        <v>415</v>
      </c>
      <c r="K537" s="201">
        <v>45352</v>
      </c>
      <c r="L537" s="199" t="s">
        <v>3894</v>
      </c>
      <c r="M537" s="199" t="s">
        <v>3320</v>
      </c>
    </row>
    <row r="538" spans="1:13" ht="185.25">
      <c r="A538" s="199">
        <v>537</v>
      </c>
      <c r="B538" s="199" t="s">
        <v>3902</v>
      </c>
      <c r="C538" s="199" t="s">
        <v>25</v>
      </c>
      <c r="D538" s="199" t="s">
        <v>17</v>
      </c>
      <c r="E538" s="199">
        <v>2307</v>
      </c>
      <c r="F538" s="199" t="s">
        <v>75</v>
      </c>
      <c r="G538" s="199" t="s">
        <v>3893</v>
      </c>
      <c r="H538" s="200">
        <v>892</v>
      </c>
      <c r="I538" s="199" t="s">
        <v>20</v>
      </c>
      <c r="J538" s="199" t="s">
        <v>415</v>
      </c>
      <c r="K538" s="201">
        <v>45352</v>
      </c>
      <c r="L538" s="199" t="s">
        <v>3894</v>
      </c>
      <c r="M538" s="199" t="s">
        <v>3320</v>
      </c>
    </row>
    <row r="539" spans="1:13" ht="142.5">
      <c r="A539" s="199">
        <v>538</v>
      </c>
      <c r="B539" s="199" t="s">
        <v>3903</v>
      </c>
      <c r="C539" s="199" t="s">
        <v>25</v>
      </c>
      <c r="D539" s="199" t="s">
        <v>17</v>
      </c>
      <c r="E539" s="199">
        <v>36508.080000000002</v>
      </c>
      <c r="F539" s="199" t="s">
        <v>75</v>
      </c>
      <c r="G539" s="199" t="s">
        <v>3893</v>
      </c>
      <c r="H539" s="200">
        <v>117815.22</v>
      </c>
      <c r="I539" s="199" t="s">
        <v>20</v>
      </c>
      <c r="J539" s="199" t="s">
        <v>415</v>
      </c>
      <c r="K539" s="201">
        <v>45352</v>
      </c>
      <c r="L539" s="199" t="s">
        <v>3894</v>
      </c>
      <c r="M539" s="199" t="s">
        <v>3320</v>
      </c>
    </row>
    <row r="540" spans="1:13" ht="128.25">
      <c r="A540" s="199">
        <v>539</v>
      </c>
      <c r="B540" s="199" t="s">
        <v>3892</v>
      </c>
      <c r="C540" s="199" t="s">
        <v>25</v>
      </c>
      <c r="D540" s="203" t="s">
        <v>17</v>
      </c>
      <c r="E540" s="199">
        <v>1801.32</v>
      </c>
      <c r="F540" s="199" t="s">
        <v>75</v>
      </c>
      <c r="G540" s="199" t="s">
        <v>3893</v>
      </c>
      <c r="H540" s="200">
        <v>11879.17</v>
      </c>
      <c r="I540" s="199" t="s">
        <v>20</v>
      </c>
      <c r="J540" s="199" t="s">
        <v>415</v>
      </c>
      <c r="K540" s="201">
        <v>45352</v>
      </c>
      <c r="L540" s="199" t="s">
        <v>38</v>
      </c>
      <c r="M540" s="199" t="s">
        <v>3320</v>
      </c>
    </row>
    <row r="541" spans="1:13" ht="128.25">
      <c r="A541" s="199">
        <v>540</v>
      </c>
      <c r="B541" s="199" t="s">
        <v>3895</v>
      </c>
      <c r="C541" s="199" t="s">
        <v>25</v>
      </c>
      <c r="D541" s="203" t="s">
        <v>17</v>
      </c>
      <c r="E541" s="199">
        <v>10393.56</v>
      </c>
      <c r="F541" s="199" t="s">
        <v>75</v>
      </c>
      <c r="G541" s="199" t="s">
        <v>3893</v>
      </c>
      <c r="H541" s="200">
        <v>68544.490000000005</v>
      </c>
      <c r="I541" s="199" t="s">
        <v>20</v>
      </c>
      <c r="J541" s="199" t="s">
        <v>415</v>
      </c>
      <c r="K541" s="201">
        <v>45352</v>
      </c>
      <c r="L541" s="199" t="s">
        <v>38</v>
      </c>
      <c r="M541" s="199" t="s">
        <v>3320</v>
      </c>
    </row>
    <row r="542" spans="1:13" ht="128.25">
      <c r="A542" s="199">
        <v>541</v>
      </c>
      <c r="B542" s="199" t="s">
        <v>3896</v>
      </c>
      <c r="C542" s="199" t="s">
        <v>25</v>
      </c>
      <c r="D542" s="203" t="s">
        <v>17</v>
      </c>
      <c r="E542" s="199">
        <v>604.79999999999995</v>
      </c>
      <c r="F542" s="199" t="s">
        <v>75</v>
      </c>
      <c r="G542" s="199" t="s">
        <v>3893</v>
      </c>
      <c r="H542" s="200">
        <v>2828.71</v>
      </c>
      <c r="I542" s="199" t="s">
        <v>20</v>
      </c>
      <c r="J542" s="199" t="s">
        <v>415</v>
      </c>
      <c r="K542" s="201">
        <v>45352</v>
      </c>
      <c r="L542" s="199" t="s">
        <v>38</v>
      </c>
      <c r="M542" s="199" t="s">
        <v>3320</v>
      </c>
    </row>
    <row r="543" spans="1:13" ht="142.5">
      <c r="A543" s="199">
        <v>542</v>
      </c>
      <c r="B543" s="199" t="s">
        <v>3897</v>
      </c>
      <c r="C543" s="199" t="s">
        <v>25</v>
      </c>
      <c r="D543" s="203" t="s">
        <v>17</v>
      </c>
      <c r="E543" s="199">
        <v>6681.96</v>
      </c>
      <c r="F543" s="199" t="s">
        <v>75</v>
      </c>
      <c r="G543" s="199" t="s">
        <v>3893</v>
      </c>
      <c r="H543" s="200">
        <v>38284.28</v>
      </c>
      <c r="I543" s="199" t="s">
        <v>20</v>
      </c>
      <c r="J543" s="199" t="s">
        <v>415</v>
      </c>
      <c r="K543" s="201">
        <v>45352</v>
      </c>
      <c r="L543" s="199" t="s">
        <v>38</v>
      </c>
      <c r="M543" s="199" t="s">
        <v>3320</v>
      </c>
    </row>
    <row r="544" spans="1:13" ht="185.25">
      <c r="A544" s="199">
        <v>543</v>
      </c>
      <c r="B544" s="199" t="s">
        <v>3898</v>
      </c>
      <c r="C544" s="199" t="s">
        <v>25</v>
      </c>
      <c r="D544" s="203" t="s">
        <v>17</v>
      </c>
      <c r="E544" s="199">
        <v>1113.3599999999999</v>
      </c>
      <c r="F544" s="199" t="s">
        <v>75</v>
      </c>
      <c r="G544" s="199" t="s">
        <v>3893</v>
      </c>
      <c r="H544" s="200">
        <v>8188.42</v>
      </c>
      <c r="I544" s="199" t="s">
        <v>20</v>
      </c>
      <c r="J544" s="199" t="s">
        <v>415</v>
      </c>
      <c r="K544" s="201">
        <v>45352</v>
      </c>
      <c r="L544" s="199" t="s">
        <v>38</v>
      </c>
      <c r="M544" s="199" t="s">
        <v>3320</v>
      </c>
    </row>
    <row r="545" spans="1:13" ht="171">
      <c r="A545" s="199">
        <v>544</v>
      </c>
      <c r="B545" s="199" t="s">
        <v>3899</v>
      </c>
      <c r="C545" s="199" t="s">
        <v>25</v>
      </c>
      <c r="D545" s="203" t="s">
        <v>17</v>
      </c>
      <c r="E545" s="199">
        <v>2638.08</v>
      </c>
      <c r="F545" s="199" t="s">
        <v>75</v>
      </c>
      <c r="G545" s="199" t="s">
        <v>3893</v>
      </c>
      <c r="H545" s="200">
        <v>12893.62</v>
      </c>
      <c r="I545" s="199" t="s">
        <v>20</v>
      </c>
      <c r="J545" s="199" t="s">
        <v>415</v>
      </c>
      <c r="K545" s="201">
        <v>45352</v>
      </c>
      <c r="L545" s="199" t="s">
        <v>38</v>
      </c>
      <c r="M545" s="199" t="s">
        <v>3320</v>
      </c>
    </row>
    <row r="546" spans="1:13" ht="142.5">
      <c r="A546" s="199">
        <v>545</v>
      </c>
      <c r="B546" s="199" t="s">
        <v>3900</v>
      </c>
      <c r="C546" s="199" t="s">
        <v>25</v>
      </c>
      <c r="D546" s="203" t="s">
        <v>17</v>
      </c>
      <c r="E546" s="199">
        <v>38927.040000000001</v>
      </c>
      <c r="F546" s="199" t="s">
        <v>75</v>
      </c>
      <c r="G546" s="199" t="s">
        <v>3893</v>
      </c>
      <c r="H546" s="200">
        <v>136552.16</v>
      </c>
      <c r="I546" s="199" t="s">
        <v>20</v>
      </c>
      <c r="J546" s="199" t="s">
        <v>415</v>
      </c>
      <c r="K546" s="201">
        <v>45352</v>
      </c>
      <c r="L546" s="199" t="s">
        <v>38</v>
      </c>
      <c r="M546" s="199" t="s">
        <v>3320</v>
      </c>
    </row>
    <row r="547" spans="1:13" ht="142.5">
      <c r="A547" s="199">
        <v>546</v>
      </c>
      <c r="B547" s="199" t="s">
        <v>3901</v>
      </c>
      <c r="C547" s="199" t="s">
        <v>25</v>
      </c>
      <c r="D547" s="203" t="s">
        <v>17</v>
      </c>
      <c r="E547" s="199">
        <v>5883.6</v>
      </c>
      <c r="F547" s="199" t="s">
        <v>75</v>
      </c>
      <c r="G547" s="199" t="s">
        <v>3893</v>
      </c>
      <c r="H547" s="200">
        <v>24835.26</v>
      </c>
      <c r="I547" s="199" t="s">
        <v>20</v>
      </c>
      <c r="J547" s="199" t="s">
        <v>415</v>
      </c>
      <c r="K547" s="201">
        <v>45352</v>
      </c>
      <c r="L547" s="199" t="s">
        <v>38</v>
      </c>
      <c r="M547" s="199" t="s">
        <v>3320</v>
      </c>
    </row>
    <row r="548" spans="1:13" ht="185.25">
      <c r="A548" s="199">
        <v>547</v>
      </c>
      <c r="B548" s="199" t="s">
        <v>3902</v>
      </c>
      <c r="C548" s="199" t="s">
        <v>25</v>
      </c>
      <c r="D548" s="203" t="s">
        <v>17</v>
      </c>
      <c r="E548" s="199">
        <v>2307</v>
      </c>
      <c r="F548" s="199" t="s">
        <v>75</v>
      </c>
      <c r="G548" s="199" t="s">
        <v>3893</v>
      </c>
      <c r="H548" s="200">
        <v>7010.97</v>
      </c>
      <c r="I548" s="199" t="s">
        <v>20</v>
      </c>
      <c r="J548" s="199" t="s">
        <v>415</v>
      </c>
      <c r="K548" s="201">
        <v>45352</v>
      </c>
      <c r="L548" s="199" t="s">
        <v>38</v>
      </c>
      <c r="M548" s="199" t="s">
        <v>3320</v>
      </c>
    </row>
    <row r="549" spans="1:13" ht="142.5">
      <c r="A549" s="199">
        <v>548</v>
      </c>
      <c r="B549" s="199" t="s">
        <v>3903</v>
      </c>
      <c r="C549" s="199" t="s">
        <v>25</v>
      </c>
      <c r="D549" s="203" t="s">
        <v>17</v>
      </c>
      <c r="E549" s="199">
        <v>36508.080000000002</v>
      </c>
      <c r="F549" s="199" t="s">
        <v>75</v>
      </c>
      <c r="G549" s="199" t="s">
        <v>3893</v>
      </c>
      <c r="H549" s="200">
        <v>117815.22</v>
      </c>
      <c r="I549" s="199" t="s">
        <v>20</v>
      </c>
      <c r="J549" s="199" t="s">
        <v>415</v>
      </c>
      <c r="K549" s="201">
        <v>45352</v>
      </c>
      <c r="L549" s="199" t="s">
        <v>38</v>
      </c>
      <c r="M549" s="199" t="s">
        <v>3320</v>
      </c>
    </row>
    <row r="550" spans="1:13" ht="142.5">
      <c r="A550" s="199">
        <v>549</v>
      </c>
      <c r="B550" s="199" t="s">
        <v>3897</v>
      </c>
      <c r="C550" s="199" t="s">
        <v>25</v>
      </c>
      <c r="D550" s="203" t="s">
        <v>17</v>
      </c>
      <c r="E550" s="199">
        <v>11319.08</v>
      </c>
      <c r="F550" s="199" t="s">
        <v>75</v>
      </c>
      <c r="G550" s="199" t="s">
        <v>3893</v>
      </c>
      <c r="H550" s="200">
        <v>142637.39000000001</v>
      </c>
      <c r="I550" s="199" t="s">
        <v>20</v>
      </c>
      <c r="J550" s="199" t="s">
        <v>415</v>
      </c>
      <c r="K550" s="201">
        <v>45352</v>
      </c>
      <c r="L550" s="199" t="s">
        <v>38</v>
      </c>
      <c r="M550" s="199" t="s">
        <v>3320</v>
      </c>
    </row>
    <row r="551" spans="1:13" ht="142.5">
      <c r="A551" s="199">
        <v>550</v>
      </c>
      <c r="B551" s="199" t="s">
        <v>3904</v>
      </c>
      <c r="C551" s="199" t="s">
        <v>25</v>
      </c>
      <c r="D551" s="203" t="s">
        <v>17</v>
      </c>
      <c r="E551" s="199">
        <v>25864.3</v>
      </c>
      <c r="F551" s="199" t="s">
        <v>75</v>
      </c>
      <c r="G551" s="199" t="s">
        <v>3893</v>
      </c>
      <c r="H551" s="200">
        <v>9924.1299999999992</v>
      </c>
      <c r="I551" s="199" t="s">
        <v>20</v>
      </c>
      <c r="J551" s="199" t="s">
        <v>415</v>
      </c>
      <c r="K551" s="201">
        <v>45352</v>
      </c>
      <c r="L551" s="199" t="s">
        <v>38</v>
      </c>
      <c r="M551" s="199" t="s">
        <v>3320</v>
      </c>
    </row>
    <row r="552" spans="1:13" ht="128.25">
      <c r="A552" s="199">
        <v>551</v>
      </c>
      <c r="B552" s="199" t="s">
        <v>3895</v>
      </c>
      <c r="C552" s="199" t="s">
        <v>25</v>
      </c>
      <c r="D552" s="203" t="s">
        <v>17</v>
      </c>
      <c r="E552" s="199">
        <v>38136.199999999997</v>
      </c>
      <c r="F552" s="199" t="s">
        <v>75</v>
      </c>
      <c r="G552" s="199" t="s">
        <v>3893</v>
      </c>
      <c r="H552" s="200">
        <v>640764.43000000005</v>
      </c>
      <c r="I552" s="199" t="s">
        <v>20</v>
      </c>
      <c r="J552" s="199" t="s">
        <v>415</v>
      </c>
      <c r="K552" s="201">
        <v>45352</v>
      </c>
      <c r="L552" s="199" t="s">
        <v>38</v>
      </c>
      <c r="M552" s="199" t="s">
        <v>3320</v>
      </c>
    </row>
    <row r="553" spans="1:13" ht="142.5">
      <c r="A553" s="199">
        <v>552</v>
      </c>
      <c r="B553" s="199" t="s">
        <v>3905</v>
      </c>
      <c r="C553" s="199" t="s">
        <v>25</v>
      </c>
      <c r="D553" s="203" t="s">
        <v>17</v>
      </c>
      <c r="E553" s="199">
        <v>12157.3</v>
      </c>
      <c r="F553" s="199" t="s">
        <v>75</v>
      </c>
      <c r="G553" s="199" t="s">
        <v>3893</v>
      </c>
      <c r="H553" s="200">
        <v>98940.97</v>
      </c>
      <c r="I553" s="199" t="s">
        <v>20</v>
      </c>
      <c r="J553" s="199" t="s">
        <v>415</v>
      </c>
      <c r="K553" s="201">
        <v>45352</v>
      </c>
      <c r="L553" s="199" t="s">
        <v>38</v>
      </c>
      <c r="M553" s="199" t="s">
        <v>3320</v>
      </c>
    </row>
    <row r="554" spans="1:13" ht="185.25">
      <c r="A554" s="199">
        <v>553</v>
      </c>
      <c r="B554" s="199" t="s">
        <v>3906</v>
      </c>
      <c r="C554" s="199" t="s">
        <v>25</v>
      </c>
      <c r="D554" s="203" t="s">
        <v>17</v>
      </c>
      <c r="E554" s="199">
        <v>8227.01</v>
      </c>
      <c r="F554" s="199" t="s">
        <v>75</v>
      </c>
      <c r="G554" s="199" t="s">
        <v>3893</v>
      </c>
      <c r="H554" s="200">
        <v>22096.93</v>
      </c>
      <c r="I554" s="199" t="s">
        <v>20</v>
      </c>
      <c r="J554" s="199" t="s">
        <v>415</v>
      </c>
      <c r="K554" s="201">
        <v>45352</v>
      </c>
      <c r="L554" s="199" t="s">
        <v>38</v>
      </c>
      <c r="M554" s="199" t="s">
        <v>3320</v>
      </c>
    </row>
    <row r="555" spans="1:13" ht="185.25">
      <c r="A555" s="199">
        <v>554</v>
      </c>
      <c r="B555" s="199" t="s">
        <v>3907</v>
      </c>
      <c r="C555" s="199" t="s">
        <v>25</v>
      </c>
      <c r="D555" s="203" t="s">
        <v>17</v>
      </c>
      <c r="E555" s="199">
        <v>2677.64</v>
      </c>
      <c r="F555" s="199" t="s">
        <v>75</v>
      </c>
      <c r="G555" s="199" t="s">
        <v>3893</v>
      </c>
      <c r="H555" s="200">
        <v>44989.440000000002</v>
      </c>
      <c r="I555" s="199" t="s">
        <v>20</v>
      </c>
      <c r="J555" s="199" t="s">
        <v>415</v>
      </c>
      <c r="K555" s="201">
        <v>45352</v>
      </c>
      <c r="L555" s="199" t="s">
        <v>38</v>
      </c>
      <c r="M555" s="199" t="s">
        <v>3320</v>
      </c>
    </row>
    <row r="556" spans="1:13" ht="128.25">
      <c r="A556" s="199">
        <v>555</v>
      </c>
      <c r="B556" s="199" t="s">
        <v>3908</v>
      </c>
      <c r="C556" s="199" t="s">
        <v>25</v>
      </c>
      <c r="D556" s="203" t="s">
        <v>17</v>
      </c>
      <c r="E556" s="199">
        <v>1688.61</v>
      </c>
      <c r="F556" s="199" t="s">
        <v>75</v>
      </c>
      <c r="G556" s="199" t="s">
        <v>3893</v>
      </c>
      <c r="H556" s="200">
        <v>51543.47</v>
      </c>
      <c r="I556" s="199" t="s">
        <v>20</v>
      </c>
      <c r="J556" s="199" t="s">
        <v>415</v>
      </c>
      <c r="K556" s="201">
        <v>45352</v>
      </c>
      <c r="L556" s="199" t="s">
        <v>38</v>
      </c>
      <c r="M556" s="199" t="s">
        <v>3320</v>
      </c>
    </row>
    <row r="557" spans="1:13" ht="156.75">
      <c r="A557" s="199">
        <v>556</v>
      </c>
      <c r="B557" s="199" t="s">
        <v>3909</v>
      </c>
      <c r="C557" s="199" t="s">
        <v>25</v>
      </c>
      <c r="D557" s="199" t="s">
        <v>17</v>
      </c>
      <c r="E557" s="199">
        <v>12</v>
      </c>
      <c r="F557" s="199" t="s">
        <v>3801</v>
      </c>
      <c r="G557" s="199" t="s">
        <v>3910</v>
      </c>
      <c r="H557" s="200">
        <v>70355.520000000004</v>
      </c>
      <c r="I557" s="199" t="s">
        <v>20</v>
      </c>
      <c r="J557" s="199" t="s">
        <v>415</v>
      </c>
      <c r="K557" s="201">
        <v>45441</v>
      </c>
      <c r="L557" s="199" t="s">
        <v>3319</v>
      </c>
      <c r="M557" s="199" t="s">
        <v>3320</v>
      </c>
    </row>
    <row r="558" spans="1:13" ht="128.25">
      <c r="A558" s="199">
        <v>557</v>
      </c>
      <c r="B558" s="199" t="s">
        <v>3911</v>
      </c>
      <c r="C558" s="199" t="s">
        <v>25</v>
      </c>
      <c r="D558" s="199" t="s">
        <v>17</v>
      </c>
      <c r="E558" s="202">
        <v>50</v>
      </c>
      <c r="F558" s="199" t="s">
        <v>25</v>
      </c>
      <c r="G558" s="199" t="s">
        <v>3912</v>
      </c>
      <c r="H558" s="200">
        <f>845.89*E558</f>
        <v>42294.5</v>
      </c>
      <c r="I558" s="199" t="s">
        <v>38</v>
      </c>
      <c r="J558" s="199" t="s">
        <v>415</v>
      </c>
      <c r="K558" s="201">
        <v>45383</v>
      </c>
      <c r="L558" s="199" t="s">
        <v>3717</v>
      </c>
      <c r="M558" s="199" t="s">
        <v>3320</v>
      </c>
    </row>
    <row r="559" spans="1:13" ht="128.25">
      <c r="A559" s="199">
        <v>558</v>
      </c>
      <c r="B559" s="199" t="s">
        <v>3913</v>
      </c>
      <c r="C559" s="199" t="s">
        <v>25</v>
      </c>
      <c r="D559" s="199" t="s">
        <v>17</v>
      </c>
      <c r="E559" s="202">
        <v>80</v>
      </c>
      <c r="F559" s="199" t="s">
        <v>25</v>
      </c>
      <c r="G559" s="199" t="s">
        <v>3912</v>
      </c>
      <c r="H559" s="200">
        <f>1010.18*E559</f>
        <v>80814.399999999994</v>
      </c>
      <c r="I559" s="199" t="s">
        <v>38</v>
      </c>
      <c r="J559" s="199" t="s">
        <v>415</v>
      </c>
      <c r="K559" s="201">
        <v>45383</v>
      </c>
      <c r="L559" s="199" t="s">
        <v>3717</v>
      </c>
      <c r="M559" s="199" t="s">
        <v>3320</v>
      </c>
    </row>
    <row r="560" spans="1:13" ht="128.25">
      <c r="A560" s="199">
        <v>559</v>
      </c>
      <c r="B560" s="199" t="s">
        <v>3914</v>
      </c>
      <c r="C560" s="199" t="s">
        <v>25</v>
      </c>
      <c r="D560" s="199" t="s">
        <v>17</v>
      </c>
      <c r="E560" s="202">
        <v>10</v>
      </c>
      <c r="F560" s="199" t="s">
        <v>25</v>
      </c>
      <c r="G560" s="199" t="s">
        <v>3912</v>
      </c>
      <c r="H560" s="200">
        <f>1340.01*E560</f>
        <v>13400.1</v>
      </c>
      <c r="I560" s="199" t="s">
        <v>38</v>
      </c>
      <c r="J560" s="199" t="s">
        <v>415</v>
      </c>
      <c r="K560" s="201">
        <v>45383</v>
      </c>
      <c r="L560" s="199" t="s">
        <v>3717</v>
      </c>
      <c r="M560" s="199" t="s">
        <v>3320</v>
      </c>
    </row>
    <row r="561" spans="1:13" ht="128.25">
      <c r="A561" s="199">
        <v>560</v>
      </c>
      <c r="B561" s="199" t="s">
        <v>3915</v>
      </c>
      <c r="C561" s="199" t="s">
        <v>25</v>
      </c>
      <c r="D561" s="199" t="s">
        <v>17</v>
      </c>
      <c r="E561" s="199">
        <v>10</v>
      </c>
      <c r="F561" s="199" t="s">
        <v>25</v>
      </c>
      <c r="G561" s="199" t="s">
        <v>3912</v>
      </c>
      <c r="H561" s="200">
        <f>1710.52*E561</f>
        <v>17105.2</v>
      </c>
      <c r="I561" s="199" t="s">
        <v>38</v>
      </c>
      <c r="J561" s="199" t="s">
        <v>415</v>
      </c>
      <c r="K561" s="201">
        <v>45383</v>
      </c>
      <c r="L561" s="199" t="s">
        <v>3717</v>
      </c>
      <c r="M561" s="199" t="s">
        <v>3320</v>
      </c>
    </row>
    <row r="562" spans="1:13" ht="128.25">
      <c r="A562" s="199">
        <v>561</v>
      </c>
      <c r="B562" s="199" t="s">
        <v>3916</v>
      </c>
      <c r="C562" s="199" t="s">
        <v>25</v>
      </c>
      <c r="D562" s="199" t="s">
        <v>17</v>
      </c>
      <c r="E562" s="199">
        <v>10</v>
      </c>
      <c r="F562" s="199" t="s">
        <v>25</v>
      </c>
      <c r="G562" s="199" t="s">
        <v>3912</v>
      </c>
      <c r="H562" s="200">
        <f>1137.7*E562</f>
        <v>11377</v>
      </c>
      <c r="I562" s="199" t="s">
        <v>38</v>
      </c>
      <c r="J562" s="199" t="s">
        <v>415</v>
      </c>
      <c r="K562" s="201">
        <v>45383</v>
      </c>
      <c r="L562" s="199" t="s">
        <v>3717</v>
      </c>
      <c r="M562" s="199" t="s">
        <v>3320</v>
      </c>
    </row>
    <row r="563" spans="1:13" ht="142.5">
      <c r="A563" s="199">
        <v>562</v>
      </c>
      <c r="B563" s="199" t="s">
        <v>3917</v>
      </c>
      <c r="C563" s="199" t="s">
        <v>25</v>
      </c>
      <c r="D563" s="199" t="s">
        <v>17</v>
      </c>
      <c r="E563" s="199">
        <v>10</v>
      </c>
      <c r="F563" s="199" t="s">
        <v>25</v>
      </c>
      <c r="G563" s="199" t="s">
        <v>3912</v>
      </c>
      <c r="H563" s="200">
        <f>1300*E563</f>
        <v>13000</v>
      </c>
      <c r="I563" s="199" t="s">
        <v>38</v>
      </c>
      <c r="J563" s="199" t="s">
        <v>415</v>
      </c>
      <c r="K563" s="201">
        <v>45383</v>
      </c>
      <c r="L563" s="199" t="s">
        <v>3717</v>
      </c>
      <c r="M563" s="199" t="s">
        <v>3320</v>
      </c>
    </row>
    <row r="564" spans="1:13" ht="128.25">
      <c r="A564" s="199">
        <v>563</v>
      </c>
      <c r="B564" s="199" t="s">
        <v>3918</v>
      </c>
      <c r="C564" s="199" t="s">
        <v>25</v>
      </c>
      <c r="D564" s="199" t="s">
        <v>17</v>
      </c>
      <c r="E564" s="199">
        <v>10</v>
      </c>
      <c r="F564" s="199" t="s">
        <v>25</v>
      </c>
      <c r="G564" s="199" t="s">
        <v>3912</v>
      </c>
      <c r="H564" s="200">
        <f>1693.87*E564</f>
        <v>16938.699999999997</v>
      </c>
      <c r="I564" s="199" t="s">
        <v>38</v>
      </c>
      <c r="J564" s="199" t="s">
        <v>415</v>
      </c>
      <c r="K564" s="201">
        <v>45383</v>
      </c>
      <c r="L564" s="199" t="s">
        <v>3717</v>
      </c>
      <c r="M564" s="199" t="s">
        <v>3320</v>
      </c>
    </row>
    <row r="565" spans="1:13" ht="128.25">
      <c r="A565" s="199">
        <v>564</v>
      </c>
      <c r="B565" s="199" t="s">
        <v>3919</v>
      </c>
      <c r="C565" s="199" t="s">
        <v>25</v>
      </c>
      <c r="D565" s="199" t="s">
        <v>17</v>
      </c>
      <c r="E565" s="199">
        <v>10</v>
      </c>
      <c r="F565" s="199" t="s">
        <v>25</v>
      </c>
      <c r="G565" s="199" t="s">
        <v>3912</v>
      </c>
      <c r="H565" s="200">
        <f>2000*E565</f>
        <v>20000</v>
      </c>
      <c r="I565" s="199" t="s">
        <v>38</v>
      </c>
      <c r="J565" s="199" t="s">
        <v>415</v>
      </c>
      <c r="K565" s="201">
        <v>45383</v>
      </c>
      <c r="L565" s="199" t="s">
        <v>3717</v>
      </c>
      <c r="M565" s="199" t="s">
        <v>3320</v>
      </c>
    </row>
    <row r="566" spans="1:13" ht="128.25">
      <c r="A566" s="199">
        <v>565</v>
      </c>
      <c r="B566" s="199" t="s">
        <v>3916</v>
      </c>
      <c r="C566" s="199" t="s">
        <v>25</v>
      </c>
      <c r="D566" s="199" t="s">
        <v>17</v>
      </c>
      <c r="E566" s="199">
        <v>5</v>
      </c>
      <c r="F566" s="199" t="s">
        <v>25</v>
      </c>
      <c r="G566" s="199" t="s">
        <v>3912</v>
      </c>
      <c r="H566" s="200">
        <f>1500*E566</f>
        <v>7500</v>
      </c>
      <c r="I566" s="199" t="s">
        <v>38</v>
      </c>
      <c r="J566" s="199" t="s">
        <v>415</v>
      </c>
      <c r="K566" s="201">
        <v>45383</v>
      </c>
      <c r="L566" s="199" t="s">
        <v>3717</v>
      </c>
      <c r="M566" s="199" t="s">
        <v>3320</v>
      </c>
    </row>
    <row r="567" spans="1:13" ht="142.5">
      <c r="A567" s="199">
        <v>566</v>
      </c>
      <c r="B567" s="199" t="s">
        <v>3920</v>
      </c>
      <c r="C567" s="199" t="s">
        <v>25</v>
      </c>
      <c r="D567" s="199" t="s">
        <v>17</v>
      </c>
      <c r="E567" s="199">
        <v>5</v>
      </c>
      <c r="F567" s="199" t="s">
        <v>25</v>
      </c>
      <c r="G567" s="199" t="s">
        <v>3912</v>
      </c>
      <c r="H567" s="200">
        <f>1900*E567</f>
        <v>9500</v>
      </c>
      <c r="I567" s="199" t="s">
        <v>38</v>
      </c>
      <c r="J567" s="199" t="s">
        <v>415</v>
      </c>
      <c r="K567" s="201">
        <v>45383</v>
      </c>
      <c r="L567" s="199" t="s">
        <v>3717</v>
      </c>
      <c r="M567" s="199" t="s">
        <v>3320</v>
      </c>
    </row>
    <row r="568" spans="1:13" ht="128.25">
      <c r="A568" s="199">
        <v>567</v>
      </c>
      <c r="B568" s="199" t="s">
        <v>3921</v>
      </c>
      <c r="C568" s="199" t="s">
        <v>25</v>
      </c>
      <c r="D568" s="199" t="s">
        <v>17</v>
      </c>
      <c r="E568" s="199">
        <v>5</v>
      </c>
      <c r="F568" s="199" t="s">
        <v>25</v>
      </c>
      <c r="G568" s="199" t="s">
        <v>3912</v>
      </c>
      <c r="H568" s="200">
        <f>2100*E568</f>
        <v>10500</v>
      </c>
      <c r="I568" s="199" t="s">
        <v>38</v>
      </c>
      <c r="J568" s="199" t="s">
        <v>415</v>
      </c>
      <c r="K568" s="201">
        <v>45383</v>
      </c>
      <c r="L568" s="199" t="s">
        <v>3717</v>
      </c>
      <c r="M568" s="199" t="s">
        <v>3320</v>
      </c>
    </row>
    <row r="569" spans="1:13" ht="128.25">
      <c r="A569" s="199">
        <v>568</v>
      </c>
      <c r="B569" s="199" t="s">
        <v>3922</v>
      </c>
      <c r="C569" s="199" t="s">
        <v>25</v>
      </c>
      <c r="D569" s="199" t="s">
        <v>17</v>
      </c>
      <c r="E569" s="199">
        <v>5</v>
      </c>
      <c r="F569" s="199" t="s">
        <v>25</v>
      </c>
      <c r="G569" s="199" t="s">
        <v>3912</v>
      </c>
      <c r="H569" s="200">
        <f>2450*E569</f>
        <v>12250</v>
      </c>
      <c r="I569" s="199" t="s">
        <v>38</v>
      </c>
      <c r="J569" s="199" t="s">
        <v>415</v>
      </c>
      <c r="K569" s="201">
        <v>45383</v>
      </c>
      <c r="L569" s="199" t="s">
        <v>3717</v>
      </c>
      <c r="M569" s="199" t="s">
        <v>3320</v>
      </c>
    </row>
    <row r="570" spans="1:13" ht="156.75">
      <c r="A570" s="199">
        <v>569</v>
      </c>
      <c r="B570" s="199" t="s">
        <v>3923</v>
      </c>
      <c r="C570" s="199" t="s">
        <v>25</v>
      </c>
      <c r="D570" s="199" t="s">
        <v>17</v>
      </c>
      <c r="E570" s="199">
        <v>200</v>
      </c>
      <c r="F570" s="199" t="s">
        <v>25</v>
      </c>
      <c r="G570" s="199" t="s">
        <v>3912</v>
      </c>
      <c r="H570" s="200">
        <f>245*E570</f>
        <v>49000</v>
      </c>
      <c r="I570" s="199" t="s">
        <v>38</v>
      </c>
      <c r="J570" s="199" t="s">
        <v>415</v>
      </c>
      <c r="K570" s="201">
        <v>45383</v>
      </c>
      <c r="L570" s="199" t="s">
        <v>3717</v>
      </c>
      <c r="M570" s="199" t="s">
        <v>3320</v>
      </c>
    </row>
    <row r="571" spans="1:13" ht="199.5">
      <c r="A571" s="199">
        <v>570</v>
      </c>
      <c r="B571" s="199" t="s">
        <v>3924</v>
      </c>
      <c r="C571" s="199" t="s">
        <v>25</v>
      </c>
      <c r="D571" s="199" t="s">
        <v>17</v>
      </c>
      <c r="E571" s="199">
        <v>300</v>
      </c>
      <c r="F571" s="199" t="s">
        <v>25</v>
      </c>
      <c r="G571" s="199" t="s">
        <v>3912</v>
      </c>
      <c r="H571" s="200">
        <f>540*E571</f>
        <v>162000</v>
      </c>
      <c r="I571" s="199" t="s">
        <v>38</v>
      </c>
      <c r="J571" s="199" t="s">
        <v>415</v>
      </c>
      <c r="K571" s="201">
        <v>45383</v>
      </c>
      <c r="L571" s="199" t="s">
        <v>3717</v>
      </c>
      <c r="M571" s="199" t="s">
        <v>3320</v>
      </c>
    </row>
    <row r="572" spans="1:13" ht="199.5">
      <c r="A572" s="199">
        <v>571</v>
      </c>
      <c r="B572" s="199" t="s">
        <v>3925</v>
      </c>
      <c r="C572" s="199" t="s">
        <v>25</v>
      </c>
      <c r="D572" s="199" t="s">
        <v>17</v>
      </c>
      <c r="E572" s="199">
        <v>10</v>
      </c>
      <c r="F572" s="199" t="s">
        <v>25</v>
      </c>
      <c r="G572" s="199" t="s">
        <v>3912</v>
      </c>
      <c r="H572" s="200">
        <f>410*E572</f>
        <v>4100</v>
      </c>
      <c r="I572" s="199" t="s">
        <v>38</v>
      </c>
      <c r="J572" s="199" t="s">
        <v>415</v>
      </c>
      <c r="K572" s="201">
        <v>45383</v>
      </c>
      <c r="L572" s="199" t="s">
        <v>3717</v>
      </c>
      <c r="M572" s="199" t="s">
        <v>3320</v>
      </c>
    </row>
    <row r="573" spans="1:13" ht="99.75">
      <c r="A573" s="199">
        <v>572</v>
      </c>
      <c r="B573" s="199" t="s">
        <v>3926</v>
      </c>
      <c r="C573" s="199" t="s">
        <v>25</v>
      </c>
      <c r="D573" s="199" t="s">
        <v>17</v>
      </c>
      <c r="E573" s="199">
        <v>12</v>
      </c>
      <c r="F573" s="199" t="s">
        <v>3927</v>
      </c>
      <c r="G573" s="199" t="s">
        <v>3928</v>
      </c>
      <c r="H573" s="200">
        <v>37736.400000000001</v>
      </c>
      <c r="I573" s="199" t="s">
        <v>38</v>
      </c>
      <c r="J573" s="199" t="s">
        <v>415</v>
      </c>
      <c r="K573" s="201">
        <v>45423</v>
      </c>
      <c r="L573" s="199" t="s">
        <v>3847</v>
      </c>
      <c r="M573" s="199" t="s">
        <v>3320</v>
      </c>
    </row>
    <row r="574" spans="1:13" ht="57">
      <c r="A574" s="199">
        <v>573</v>
      </c>
      <c r="B574" s="199" t="s">
        <v>3929</v>
      </c>
      <c r="C574" s="199" t="s">
        <v>25</v>
      </c>
      <c r="D574" s="199" t="s">
        <v>17</v>
      </c>
      <c r="E574" s="199">
        <v>5</v>
      </c>
      <c r="F574" s="199" t="s">
        <v>25</v>
      </c>
      <c r="G574" s="199" t="s">
        <v>3930</v>
      </c>
      <c r="H574" s="200">
        <v>1650</v>
      </c>
      <c r="I574" s="199" t="s">
        <v>38</v>
      </c>
      <c r="J574" s="199" t="s">
        <v>492</v>
      </c>
      <c r="K574" s="201" t="s">
        <v>3931</v>
      </c>
      <c r="L574" s="199" t="s">
        <v>38</v>
      </c>
      <c r="M574" s="199" t="s">
        <v>3320</v>
      </c>
    </row>
    <row r="575" spans="1:13" ht="57">
      <c r="A575" s="199">
        <v>574</v>
      </c>
      <c r="B575" s="199" t="s">
        <v>3932</v>
      </c>
      <c r="C575" s="199" t="s">
        <v>25</v>
      </c>
      <c r="D575" s="199" t="s">
        <v>17</v>
      </c>
      <c r="E575" s="199">
        <v>8</v>
      </c>
      <c r="F575" s="199" t="s">
        <v>25</v>
      </c>
      <c r="G575" s="199" t="s">
        <v>3930</v>
      </c>
      <c r="H575" s="200">
        <v>2640</v>
      </c>
      <c r="I575" s="199" t="s">
        <v>38</v>
      </c>
      <c r="J575" s="199" t="s">
        <v>492</v>
      </c>
      <c r="K575" s="201" t="s">
        <v>3931</v>
      </c>
      <c r="L575" s="199" t="s">
        <v>38</v>
      </c>
      <c r="M575" s="199" t="s">
        <v>3320</v>
      </c>
    </row>
    <row r="576" spans="1:13" ht="57">
      <c r="A576" s="199">
        <v>575</v>
      </c>
      <c r="B576" s="199" t="s">
        <v>3933</v>
      </c>
      <c r="C576" s="199" t="s">
        <v>25</v>
      </c>
      <c r="D576" s="199" t="s">
        <v>17</v>
      </c>
      <c r="E576" s="199">
        <v>15</v>
      </c>
      <c r="F576" s="199" t="s">
        <v>25</v>
      </c>
      <c r="G576" s="199" t="s">
        <v>3930</v>
      </c>
      <c r="H576" s="200">
        <v>4950</v>
      </c>
      <c r="I576" s="199" t="s">
        <v>38</v>
      </c>
      <c r="J576" s="199" t="s">
        <v>492</v>
      </c>
      <c r="K576" s="201" t="s">
        <v>3931</v>
      </c>
      <c r="L576" s="199" t="s">
        <v>38</v>
      </c>
      <c r="M576" s="199" t="s">
        <v>3320</v>
      </c>
    </row>
    <row r="577" spans="1:13" ht="57">
      <c r="A577" s="199">
        <v>576</v>
      </c>
      <c r="B577" s="199" t="s">
        <v>3934</v>
      </c>
      <c r="C577" s="199" t="s">
        <v>25</v>
      </c>
      <c r="D577" s="199" t="s">
        <v>17</v>
      </c>
      <c r="E577" s="199">
        <v>1</v>
      </c>
      <c r="F577" s="199" t="s">
        <v>25</v>
      </c>
      <c r="G577" s="199" t="s">
        <v>3930</v>
      </c>
      <c r="H577" s="200">
        <v>330</v>
      </c>
      <c r="I577" s="199" t="s">
        <v>38</v>
      </c>
      <c r="J577" s="199" t="s">
        <v>492</v>
      </c>
      <c r="K577" s="201" t="s">
        <v>3931</v>
      </c>
      <c r="L577" s="199" t="s">
        <v>38</v>
      </c>
      <c r="M577" s="199" t="s">
        <v>3320</v>
      </c>
    </row>
    <row r="578" spans="1:13" ht="57">
      <c r="A578" s="199">
        <v>577</v>
      </c>
      <c r="B578" s="199" t="s">
        <v>3935</v>
      </c>
      <c r="C578" s="199" t="s">
        <v>25</v>
      </c>
      <c r="D578" s="199" t="s">
        <v>17</v>
      </c>
      <c r="E578" s="199">
        <v>3</v>
      </c>
      <c r="F578" s="199" t="s">
        <v>25</v>
      </c>
      <c r="G578" s="199" t="s">
        <v>3930</v>
      </c>
      <c r="H578" s="200">
        <v>990</v>
      </c>
      <c r="I578" s="199" t="s">
        <v>38</v>
      </c>
      <c r="J578" s="199" t="s">
        <v>492</v>
      </c>
      <c r="K578" s="201" t="s">
        <v>3931</v>
      </c>
      <c r="L578" s="199" t="s">
        <v>38</v>
      </c>
      <c r="M578" s="199" t="s">
        <v>3320</v>
      </c>
    </row>
    <row r="579" spans="1:13" ht="57">
      <c r="A579" s="199">
        <v>578</v>
      </c>
      <c r="B579" s="199" t="s">
        <v>3936</v>
      </c>
      <c r="C579" s="199" t="s">
        <v>25</v>
      </c>
      <c r="D579" s="199" t="s">
        <v>17</v>
      </c>
      <c r="E579" s="199">
        <v>4</v>
      </c>
      <c r="F579" s="199" t="s">
        <v>25</v>
      </c>
      <c r="G579" s="199" t="s">
        <v>3930</v>
      </c>
      <c r="H579" s="200">
        <v>1320</v>
      </c>
      <c r="I579" s="199" t="s">
        <v>38</v>
      </c>
      <c r="J579" s="199" t="s">
        <v>492</v>
      </c>
      <c r="K579" s="201" t="s">
        <v>3931</v>
      </c>
      <c r="L579" s="199" t="s">
        <v>38</v>
      </c>
      <c r="M579" s="199" t="s">
        <v>3320</v>
      </c>
    </row>
    <row r="580" spans="1:13" ht="57">
      <c r="A580" s="199">
        <v>579</v>
      </c>
      <c r="B580" s="199" t="s">
        <v>3937</v>
      </c>
      <c r="C580" s="199" t="s">
        <v>25</v>
      </c>
      <c r="D580" s="199" t="s">
        <v>17</v>
      </c>
      <c r="E580" s="199">
        <v>3</v>
      </c>
      <c r="F580" s="199" t="s">
        <v>25</v>
      </c>
      <c r="G580" s="199" t="s">
        <v>3930</v>
      </c>
      <c r="H580" s="200">
        <v>950.01</v>
      </c>
      <c r="I580" s="199" t="s">
        <v>38</v>
      </c>
      <c r="J580" s="199" t="s">
        <v>492</v>
      </c>
      <c r="K580" s="201" t="s">
        <v>3931</v>
      </c>
      <c r="L580" s="199" t="s">
        <v>38</v>
      </c>
      <c r="M580" s="199" t="s">
        <v>3320</v>
      </c>
    </row>
    <row r="581" spans="1:13" ht="71.25">
      <c r="A581" s="199">
        <v>580</v>
      </c>
      <c r="B581" s="199" t="s">
        <v>3938</v>
      </c>
      <c r="C581" s="199" t="s">
        <v>25</v>
      </c>
      <c r="D581" s="199" t="s">
        <v>17</v>
      </c>
      <c r="E581" s="199">
        <v>1</v>
      </c>
      <c r="F581" s="199" t="s">
        <v>25</v>
      </c>
      <c r="G581" s="199" t="s">
        <v>3930</v>
      </c>
      <c r="H581" s="200">
        <v>330</v>
      </c>
      <c r="I581" s="199" t="s">
        <v>38</v>
      </c>
      <c r="J581" s="199" t="s">
        <v>492</v>
      </c>
      <c r="K581" s="201" t="s">
        <v>3931</v>
      </c>
      <c r="L581" s="199" t="s">
        <v>38</v>
      </c>
      <c r="M581" s="199" t="s">
        <v>3320</v>
      </c>
    </row>
    <row r="582" spans="1:13" ht="57">
      <c r="A582" s="199">
        <v>581</v>
      </c>
      <c r="B582" s="199" t="s">
        <v>3939</v>
      </c>
      <c r="C582" s="199" t="s">
        <v>25</v>
      </c>
      <c r="D582" s="199" t="s">
        <v>17</v>
      </c>
      <c r="E582" s="199">
        <v>1</v>
      </c>
      <c r="F582" s="199" t="s">
        <v>25</v>
      </c>
      <c r="G582" s="199" t="s">
        <v>3930</v>
      </c>
      <c r="H582" s="200">
        <v>316.67</v>
      </c>
      <c r="I582" s="199" t="s">
        <v>38</v>
      </c>
      <c r="J582" s="199" t="s">
        <v>492</v>
      </c>
      <c r="K582" s="201" t="s">
        <v>3931</v>
      </c>
      <c r="L582" s="199" t="s">
        <v>38</v>
      </c>
      <c r="M582" s="199" t="s">
        <v>3320</v>
      </c>
    </row>
    <row r="583" spans="1:13" ht="57">
      <c r="A583" s="199">
        <v>582</v>
      </c>
      <c r="B583" s="199" t="s">
        <v>3940</v>
      </c>
      <c r="C583" s="199" t="s">
        <v>25</v>
      </c>
      <c r="D583" s="199" t="s">
        <v>17</v>
      </c>
      <c r="E583" s="199">
        <v>4</v>
      </c>
      <c r="F583" s="199" t="s">
        <v>25</v>
      </c>
      <c r="G583" s="199" t="s">
        <v>3930</v>
      </c>
      <c r="H583" s="200">
        <v>880</v>
      </c>
      <c r="I583" s="199" t="s">
        <v>38</v>
      </c>
      <c r="J583" s="199" t="s">
        <v>492</v>
      </c>
      <c r="K583" s="201" t="s">
        <v>3931</v>
      </c>
      <c r="L583" s="199" t="s">
        <v>38</v>
      </c>
      <c r="M583" s="199" t="s">
        <v>3320</v>
      </c>
    </row>
    <row r="584" spans="1:13" ht="57">
      <c r="A584" s="199">
        <v>583</v>
      </c>
      <c r="B584" s="199" t="s">
        <v>3941</v>
      </c>
      <c r="C584" s="199" t="s">
        <v>25</v>
      </c>
      <c r="D584" s="199" t="s">
        <v>17</v>
      </c>
      <c r="E584" s="199">
        <v>1</v>
      </c>
      <c r="F584" s="199" t="s">
        <v>25</v>
      </c>
      <c r="G584" s="199" t="s">
        <v>3930</v>
      </c>
      <c r="H584" s="200">
        <v>330</v>
      </c>
      <c r="I584" s="199" t="s">
        <v>38</v>
      </c>
      <c r="J584" s="199" t="s">
        <v>492</v>
      </c>
      <c r="K584" s="201" t="s">
        <v>3931</v>
      </c>
      <c r="L584" s="199" t="s">
        <v>38</v>
      </c>
      <c r="M584" s="199" t="s">
        <v>3320</v>
      </c>
    </row>
    <row r="585" spans="1:13" ht="57">
      <c r="A585" s="199">
        <v>584</v>
      </c>
      <c r="B585" s="199" t="s">
        <v>3942</v>
      </c>
      <c r="C585" s="199" t="s">
        <v>25</v>
      </c>
      <c r="D585" s="199" t="s">
        <v>17</v>
      </c>
      <c r="E585" s="199">
        <v>11</v>
      </c>
      <c r="F585" s="199" t="s">
        <v>25</v>
      </c>
      <c r="G585" s="199" t="s">
        <v>3930</v>
      </c>
      <c r="H585" s="200">
        <v>3630</v>
      </c>
      <c r="I585" s="199" t="s">
        <v>38</v>
      </c>
      <c r="J585" s="199" t="s">
        <v>492</v>
      </c>
      <c r="K585" s="201" t="s">
        <v>3931</v>
      </c>
      <c r="L585" s="199" t="s">
        <v>38</v>
      </c>
      <c r="M585" s="199" t="s">
        <v>3320</v>
      </c>
    </row>
    <row r="586" spans="1:13" ht="57">
      <c r="A586" s="199">
        <v>585</v>
      </c>
      <c r="B586" s="199" t="s">
        <v>3943</v>
      </c>
      <c r="C586" s="199" t="s">
        <v>25</v>
      </c>
      <c r="D586" s="199" t="s">
        <v>17</v>
      </c>
      <c r="E586" s="199">
        <v>1</v>
      </c>
      <c r="F586" s="199" t="s">
        <v>25</v>
      </c>
      <c r="G586" s="199" t="s">
        <v>3930</v>
      </c>
      <c r="H586" s="200">
        <v>330</v>
      </c>
      <c r="I586" s="199" t="s">
        <v>38</v>
      </c>
      <c r="J586" s="199" t="s">
        <v>492</v>
      </c>
      <c r="K586" s="201" t="s">
        <v>3931</v>
      </c>
      <c r="L586" s="199" t="s">
        <v>38</v>
      </c>
      <c r="M586" s="199" t="s">
        <v>3320</v>
      </c>
    </row>
    <row r="587" spans="1:13" ht="57">
      <c r="A587" s="199">
        <v>586</v>
      </c>
      <c r="B587" s="199" t="s">
        <v>3944</v>
      </c>
      <c r="C587" s="199" t="s">
        <v>25</v>
      </c>
      <c r="D587" s="199" t="s">
        <v>17</v>
      </c>
      <c r="E587" s="199">
        <v>1</v>
      </c>
      <c r="F587" s="199" t="s">
        <v>25</v>
      </c>
      <c r="G587" s="199" t="s">
        <v>3930</v>
      </c>
      <c r="H587" s="200">
        <v>330</v>
      </c>
      <c r="I587" s="199" t="s">
        <v>38</v>
      </c>
      <c r="J587" s="199" t="s">
        <v>492</v>
      </c>
      <c r="K587" s="201" t="s">
        <v>3931</v>
      </c>
      <c r="L587" s="199" t="s">
        <v>38</v>
      </c>
      <c r="M587" s="199" t="s">
        <v>3320</v>
      </c>
    </row>
    <row r="588" spans="1:13" ht="57">
      <c r="A588" s="199">
        <v>587</v>
      </c>
      <c r="B588" s="199" t="s">
        <v>3945</v>
      </c>
      <c r="C588" s="199" t="s">
        <v>25</v>
      </c>
      <c r="D588" s="199" t="s">
        <v>17</v>
      </c>
      <c r="E588" s="199">
        <v>6</v>
      </c>
      <c r="F588" s="199" t="s">
        <v>25</v>
      </c>
      <c r="G588" s="199" t="s">
        <v>3930</v>
      </c>
      <c r="H588" s="200">
        <v>1980</v>
      </c>
      <c r="I588" s="199" t="s">
        <v>38</v>
      </c>
      <c r="J588" s="199" t="s">
        <v>492</v>
      </c>
      <c r="K588" s="201" t="s">
        <v>3931</v>
      </c>
      <c r="L588" s="199" t="s">
        <v>38</v>
      </c>
      <c r="M588" s="199" t="s">
        <v>3320</v>
      </c>
    </row>
    <row r="589" spans="1:13" ht="57">
      <c r="A589" s="199">
        <v>588</v>
      </c>
      <c r="B589" s="199" t="s">
        <v>3946</v>
      </c>
      <c r="C589" s="199" t="s">
        <v>25</v>
      </c>
      <c r="D589" s="199" t="s">
        <v>17</v>
      </c>
      <c r="E589" s="199">
        <v>2</v>
      </c>
      <c r="F589" s="199" t="s">
        <v>25</v>
      </c>
      <c r="G589" s="199" t="s">
        <v>3930</v>
      </c>
      <c r="H589" s="200">
        <v>660</v>
      </c>
      <c r="I589" s="199" t="s">
        <v>38</v>
      </c>
      <c r="J589" s="199" t="s">
        <v>492</v>
      </c>
      <c r="K589" s="201" t="s">
        <v>3931</v>
      </c>
      <c r="L589" s="199" t="s">
        <v>38</v>
      </c>
      <c r="M589" s="199" t="s">
        <v>3320</v>
      </c>
    </row>
    <row r="590" spans="1:13" ht="57">
      <c r="A590" s="199">
        <v>589</v>
      </c>
      <c r="B590" s="199" t="s">
        <v>3947</v>
      </c>
      <c r="C590" s="199" t="s">
        <v>25</v>
      </c>
      <c r="D590" s="199" t="s">
        <v>17</v>
      </c>
      <c r="E590" s="199">
        <v>4</v>
      </c>
      <c r="F590" s="199" t="s">
        <v>25</v>
      </c>
      <c r="G590" s="199" t="s">
        <v>3930</v>
      </c>
      <c r="H590" s="200">
        <v>1320</v>
      </c>
      <c r="I590" s="199" t="s">
        <v>38</v>
      </c>
      <c r="J590" s="199" t="s">
        <v>492</v>
      </c>
      <c r="K590" s="201" t="s">
        <v>3931</v>
      </c>
      <c r="L590" s="199" t="s">
        <v>38</v>
      </c>
      <c r="M590" s="199" t="s">
        <v>3320</v>
      </c>
    </row>
    <row r="591" spans="1:13" ht="57">
      <c r="A591" s="199">
        <v>590</v>
      </c>
      <c r="B591" s="199" t="s">
        <v>3948</v>
      </c>
      <c r="C591" s="199" t="s">
        <v>25</v>
      </c>
      <c r="D591" s="199" t="s">
        <v>17</v>
      </c>
      <c r="E591" s="199">
        <v>2</v>
      </c>
      <c r="F591" s="199" t="s">
        <v>25</v>
      </c>
      <c r="G591" s="199" t="s">
        <v>3930</v>
      </c>
      <c r="H591" s="200">
        <v>2100</v>
      </c>
      <c r="I591" s="199" t="s">
        <v>38</v>
      </c>
      <c r="J591" s="199" t="s">
        <v>492</v>
      </c>
      <c r="K591" s="201" t="s">
        <v>3931</v>
      </c>
      <c r="L591" s="199" t="s">
        <v>38</v>
      </c>
      <c r="M591" s="199" t="s">
        <v>3320</v>
      </c>
    </row>
    <row r="592" spans="1:13" ht="57">
      <c r="A592" s="199">
        <v>591</v>
      </c>
      <c r="B592" s="199" t="s">
        <v>3949</v>
      </c>
      <c r="C592" s="199" t="s">
        <v>25</v>
      </c>
      <c r="D592" s="199" t="s">
        <v>17</v>
      </c>
      <c r="E592" s="199">
        <v>2</v>
      </c>
      <c r="F592" s="199" t="s">
        <v>25</v>
      </c>
      <c r="G592" s="199" t="s">
        <v>3930</v>
      </c>
      <c r="H592" s="200">
        <v>873.34</v>
      </c>
      <c r="I592" s="199" t="s">
        <v>38</v>
      </c>
      <c r="J592" s="199" t="s">
        <v>492</v>
      </c>
      <c r="K592" s="201" t="s">
        <v>3931</v>
      </c>
      <c r="L592" s="199" t="s">
        <v>38</v>
      </c>
      <c r="M592" s="199" t="s">
        <v>3320</v>
      </c>
    </row>
    <row r="593" spans="1:13" ht="57">
      <c r="A593" s="199">
        <v>592</v>
      </c>
      <c r="B593" s="199" t="s">
        <v>3950</v>
      </c>
      <c r="C593" s="199" t="s">
        <v>25</v>
      </c>
      <c r="D593" s="199" t="s">
        <v>17</v>
      </c>
      <c r="E593" s="199">
        <v>2</v>
      </c>
      <c r="F593" s="199" t="s">
        <v>25</v>
      </c>
      <c r="G593" s="199" t="s">
        <v>3930</v>
      </c>
      <c r="H593" s="200">
        <v>2000</v>
      </c>
      <c r="I593" s="199" t="s">
        <v>38</v>
      </c>
      <c r="J593" s="199" t="s">
        <v>492</v>
      </c>
      <c r="K593" s="201" t="s">
        <v>3931</v>
      </c>
      <c r="L593" s="199" t="s">
        <v>38</v>
      </c>
      <c r="M593" s="199" t="s">
        <v>3320</v>
      </c>
    </row>
    <row r="594" spans="1:13" ht="57">
      <c r="A594" s="199">
        <v>593</v>
      </c>
      <c r="B594" s="199" t="s">
        <v>3951</v>
      </c>
      <c r="C594" s="199" t="s">
        <v>25</v>
      </c>
      <c r="D594" s="199" t="s">
        <v>17</v>
      </c>
      <c r="E594" s="199">
        <v>1</v>
      </c>
      <c r="F594" s="199" t="s">
        <v>25</v>
      </c>
      <c r="G594" s="199" t="s">
        <v>3930</v>
      </c>
      <c r="H594" s="200">
        <v>1000</v>
      </c>
      <c r="I594" s="199" t="s">
        <v>38</v>
      </c>
      <c r="J594" s="199" t="s">
        <v>492</v>
      </c>
      <c r="K594" s="201" t="s">
        <v>3931</v>
      </c>
      <c r="L594" s="199" t="s">
        <v>38</v>
      </c>
      <c r="M594" s="199" t="s">
        <v>3320</v>
      </c>
    </row>
    <row r="595" spans="1:13" ht="57">
      <c r="A595" s="199">
        <v>594</v>
      </c>
      <c r="B595" s="199" t="s">
        <v>3952</v>
      </c>
      <c r="C595" s="199" t="s">
        <v>25</v>
      </c>
      <c r="D595" s="199" t="s">
        <v>17</v>
      </c>
      <c r="E595" s="199">
        <v>1</v>
      </c>
      <c r="F595" s="199" t="s">
        <v>25</v>
      </c>
      <c r="G595" s="199" t="s">
        <v>3930</v>
      </c>
      <c r="H595" s="200">
        <v>1000</v>
      </c>
      <c r="I595" s="199" t="s">
        <v>38</v>
      </c>
      <c r="J595" s="199" t="s">
        <v>492</v>
      </c>
      <c r="K595" s="201" t="s">
        <v>3931</v>
      </c>
      <c r="L595" s="199" t="s">
        <v>38</v>
      </c>
      <c r="M595" s="199" t="s">
        <v>3320</v>
      </c>
    </row>
    <row r="596" spans="1:13" ht="57">
      <c r="A596" s="199">
        <v>595</v>
      </c>
      <c r="B596" s="199" t="s">
        <v>3953</v>
      </c>
      <c r="C596" s="199" t="s">
        <v>25</v>
      </c>
      <c r="D596" s="199" t="s">
        <v>17</v>
      </c>
      <c r="E596" s="199">
        <v>1</v>
      </c>
      <c r="F596" s="199" t="s">
        <v>25</v>
      </c>
      <c r="G596" s="199" t="s">
        <v>3930</v>
      </c>
      <c r="H596" s="200">
        <v>1000</v>
      </c>
      <c r="I596" s="199" t="s">
        <v>38</v>
      </c>
      <c r="J596" s="199" t="s">
        <v>492</v>
      </c>
      <c r="K596" s="201" t="s">
        <v>3931</v>
      </c>
      <c r="L596" s="199" t="s">
        <v>38</v>
      </c>
      <c r="M596" s="199" t="s">
        <v>3320</v>
      </c>
    </row>
    <row r="597" spans="1:13" ht="57">
      <c r="A597" s="199">
        <v>596</v>
      </c>
      <c r="B597" s="199" t="s">
        <v>3954</v>
      </c>
      <c r="C597" s="199" t="s">
        <v>25</v>
      </c>
      <c r="D597" s="199" t="s">
        <v>17</v>
      </c>
      <c r="E597" s="199">
        <v>2</v>
      </c>
      <c r="F597" s="199" t="s">
        <v>25</v>
      </c>
      <c r="G597" s="199" t="s">
        <v>3930</v>
      </c>
      <c r="H597" s="200">
        <v>660</v>
      </c>
      <c r="I597" s="199" t="s">
        <v>38</v>
      </c>
      <c r="J597" s="199" t="s">
        <v>492</v>
      </c>
      <c r="K597" s="201" t="s">
        <v>3931</v>
      </c>
      <c r="L597" s="199" t="s">
        <v>38</v>
      </c>
      <c r="M597" s="199" t="s">
        <v>3320</v>
      </c>
    </row>
    <row r="598" spans="1:13" ht="57">
      <c r="A598" s="199">
        <v>597</v>
      </c>
      <c r="B598" s="199" t="s">
        <v>3955</v>
      </c>
      <c r="C598" s="199" t="s">
        <v>25</v>
      </c>
      <c r="D598" s="199" t="s">
        <v>17</v>
      </c>
      <c r="E598" s="199">
        <v>19</v>
      </c>
      <c r="F598" s="199" t="s">
        <v>25</v>
      </c>
      <c r="G598" s="199" t="s">
        <v>3930</v>
      </c>
      <c r="H598" s="200">
        <v>13173.27</v>
      </c>
      <c r="I598" s="199" t="s">
        <v>38</v>
      </c>
      <c r="J598" s="199" t="s">
        <v>492</v>
      </c>
      <c r="K598" s="201" t="s">
        <v>3931</v>
      </c>
      <c r="L598" s="199" t="s">
        <v>38</v>
      </c>
      <c r="M598" s="199" t="s">
        <v>3320</v>
      </c>
    </row>
    <row r="599" spans="1:13" ht="57">
      <c r="A599" s="199">
        <v>598</v>
      </c>
      <c r="B599" s="199" t="s">
        <v>3956</v>
      </c>
      <c r="C599" s="199" t="s">
        <v>25</v>
      </c>
      <c r="D599" s="199" t="s">
        <v>17</v>
      </c>
      <c r="E599" s="199">
        <v>17</v>
      </c>
      <c r="F599" s="199" t="s">
        <v>25</v>
      </c>
      <c r="G599" s="199" t="s">
        <v>3930</v>
      </c>
      <c r="H599" s="200">
        <v>3853.39</v>
      </c>
      <c r="I599" s="199" t="s">
        <v>38</v>
      </c>
      <c r="J599" s="199" t="s">
        <v>492</v>
      </c>
      <c r="K599" s="201" t="s">
        <v>3931</v>
      </c>
      <c r="L599" s="199" t="s">
        <v>38</v>
      </c>
      <c r="M599" s="199" t="s">
        <v>3320</v>
      </c>
    </row>
    <row r="600" spans="1:13" ht="57">
      <c r="A600" s="199">
        <v>599</v>
      </c>
      <c r="B600" s="199" t="s">
        <v>3957</v>
      </c>
      <c r="C600" s="199" t="s">
        <v>25</v>
      </c>
      <c r="D600" s="199" t="s">
        <v>17</v>
      </c>
      <c r="E600" s="199">
        <v>2</v>
      </c>
      <c r="F600" s="199" t="s">
        <v>25</v>
      </c>
      <c r="G600" s="199" t="s">
        <v>3930</v>
      </c>
      <c r="H600" s="200">
        <v>733.34</v>
      </c>
      <c r="I600" s="199" t="s">
        <v>38</v>
      </c>
      <c r="J600" s="199" t="s">
        <v>492</v>
      </c>
      <c r="K600" s="201" t="s">
        <v>3931</v>
      </c>
      <c r="L600" s="199" t="s">
        <v>38</v>
      </c>
      <c r="M600" s="199" t="s">
        <v>3320</v>
      </c>
    </row>
    <row r="601" spans="1:13" ht="57">
      <c r="A601" s="199">
        <v>600</v>
      </c>
      <c r="B601" s="199" t="s">
        <v>3958</v>
      </c>
      <c r="C601" s="199" t="s">
        <v>25</v>
      </c>
      <c r="D601" s="199" t="s">
        <v>17</v>
      </c>
      <c r="E601" s="199">
        <v>22</v>
      </c>
      <c r="F601" s="199" t="s">
        <v>25</v>
      </c>
      <c r="G601" s="199" t="s">
        <v>3930</v>
      </c>
      <c r="H601" s="200">
        <v>4986.74</v>
      </c>
      <c r="I601" s="199" t="s">
        <v>38</v>
      </c>
      <c r="J601" s="199" t="s">
        <v>492</v>
      </c>
      <c r="K601" s="201" t="s">
        <v>3931</v>
      </c>
      <c r="L601" s="199" t="s">
        <v>38</v>
      </c>
      <c r="M601" s="199" t="s">
        <v>3320</v>
      </c>
    </row>
    <row r="602" spans="1:13" ht="57">
      <c r="A602" s="199">
        <v>601</v>
      </c>
      <c r="B602" s="199" t="s">
        <v>3502</v>
      </c>
      <c r="C602" s="199" t="s">
        <v>25</v>
      </c>
      <c r="D602" s="199" t="s">
        <v>17</v>
      </c>
      <c r="E602" s="199">
        <v>1</v>
      </c>
      <c r="F602" s="199" t="s">
        <v>25</v>
      </c>
      <c r="G602" s="199" t="s">
        <v>3930</v>
      </c>
      <c r="H602" s="200">
        <v>366.67</v>
      </c>
      <c r="I602" s="199" t="s">
        <v>38</v>
      </c>
      <c r="J602" s="199" t="s">
        <v>492</v>
      </c>
      <c r="K602" s="201" t="s">
        <v>3931</v>
      </c>
      <c r="L602" s="199" t="s">
        <v>38</v>
      </c>
      <c r="M602" s="199" t="s">
        <v>3320</v>
      </c>
    </row>
    <row r="603" spans="1:13" ht="57">
      <c r="A603" s="199">
        <v>602</v>
      </c>
      <c r="B603" s="199" t="s">
        <v>3954</v>
      </c>
      <c r="C603" s="199" t="s">
        <v>25</v>
      </c>
      <c r="D603" s="199" t="s">
        <v>17</v>
      </c>
      <c r="E603" s="199">
        <v>1</v>
      </c>
      <c r="F603" s="199" t="s">
        <v>25</v>
      </c>
      <c r="G603" s="199" t="s">
        <v>3930</v>
      </c>
      <c r="H603" s="200">
        <v>333.33</v>
      </c>
      <c r="I603" s="199" t="s">
        <v>38</v>
      </c>
      <c r="J603" s="199" t="s">
        <v>492</v>
      </c>
      <c r="K603" s="201" t="s">
        <v>3931</v>
      </c>
      <c r="L603" s="199" t="s">
        <v>38</v>
      </c>
      <c r="M603" s="199" t="s">
        <v>3320</v>
      </c>
    </row>
    <row r="604" spans="1:13" ht="57">
      <c r="A604" s="199">
        <v>603</v>
      </c>
      <c r="B604" s="199" t="s">
        <v>3959</v>
      </c>
      <c r="C604" s="199" t="s">
        <v>25</v>
      </c>
      <c r="D604" s="199" t="s">
        <v>17</v>
      </c>
      <c r="E604" s="199">
        <v>1</v>
      </c>
      <c r="F604" s="199" t="s">
        <v>25</v>
      </c>
      <c r="G604" s="199" t="s">
        <v>3930</v>
      </c>
      <c r="H604" s="200">
        <v>366.67</v>
      </c>
      <c r="I604" s="199" t="s">
        <v>38</v>
      </c>
      <c r="J604" s="199" t="s">
        <v>492</v>
      </c>
      <c r="K604" s="201" t="s">
        <v>3931</v>
      </c>
      <c r="L604" s="199" t="s">
        <v>38</v>
      </c>
      <c r="M604" s="199" t="s">
        <v>3320</v>
      </c>
    </row>
    <row r="605" spans="1:13" ht="57">
      <c r="A605" s="199">
        <v>604</v>
      </c>
      <c r="B605" s="199" t="s">
        <v>3960</v>
      </c>
      <c r="C605" s="199" t="s">
        <v>25</v>
      </c>
      <c r="D605" s="199" t="s">
        <v>17</v>
      </c>
      <c r="E605" s="199">
        <v>1</v>
      </c>
      <c r="F605" s="199" t="s">
        <v>25</v>
      </c>
      <c r="G605" s="199" t="s">
        <v>3930</v>
      </c>
      <c r="H605" s="200">
        <v>1633.33</v>
      </c>
      <c r="I605" s="199" t="s">
        <v>38</v>
      </c>
      <c r="J605" s="199" t="s">
        <v>492</v>
      </c>
      <c r="K605" s="201" t="s">
        <v>3931</v>
      </c>
      <c r="L605" s="199" t="s">
        <v>38</v>
      </c>
      <c r="M605" s="199" t="s">
        <v>3320</v>
      </c>
    </row>
    <row r="606" spans="1:13" ht="57">
      <c r="A606" s="199">
        <v>605</v>
      </c>
      <c r="B606" s="199" t="s">
        <v>3961</v>
      </c>
      <c r="C606" s="199" t="s">
        <v>25</v>
      </c>
      <c r="D606" s="199" t="s">
        <v>17</v>
      </c>
      <c r="E606" s="199">
        <v>1</v>
      </c>
      <c r="F606" s="199" t="s">
        <v>25</v>
      </c>
      <c r="G606" s="199" t="s">
        <v>3930</v>
      </c>
      <c r="H606" s="200">
        <v>1033.33</v>
      </c>
      <c r="I606" s="199" t="s">
        <v>38</v>
      </c>
      <c r="J606" s="199" t="s">
        <v>492</v>
      </c>
      <c r="K606" s="201" t="s">
        <v>3931</v>
      </c>
      <c r="L606" s="199" t="s">
        <v>38</v>
      </c>
      <c r="M606" s="199" t="s">
        <v>3320</v>
      </c>
    </row>
    <row r="607" spans="1:13" ht="57">
      <c r="A607" s="199">
        <v>606</v>
      </c>
      <c r="B607" s="199" t="s">
        <v>3962</v>
      </c>
      <c r="C607" s="199" t="s">
        <v>25</v>
      </c>
      <c r="D607" s="199" t="s">
        <v>17</v>
      </c>
      <c r="E607" s="199">
        <v>1</v>
      </c>
      <c r="F607" s="199" t="s">
        <v>25</v>
      </c>
      <c r="G607" s="199" t="s">
        <v>3930</v>
      </c>
      <c r="H607" s="200">
        <v>1033.33</v>
      </c>
      <c r="I607" s="199" t="s">
        <v>38</v>
      </c>
      <c r="J607" s="199" t="s">
        <v>492</v>
      </c>
      <c r="K607" s="201" t="s">
        <v>3931</v>
      </c>
      <c r="L607" s="199" t="s">
        <v>38</v>
      </c>
      <c r="M607" s="199" t="s">
        <v>3320</v>
      </c>
    </row>
    <row r="608" spans="1:13" ht="57">
      <c r="A608" s="199">
        <v>607</v>
      </c>
      <c r="B608" s="199" t="s">
        <v>3963</v>
      </c>
      <c r="C608" s="199" t="s">
        <v>25</v>
      </c>
      <c r="D608" s="199" t="s">
        <v>17</v>
      </c>
      <c r="E608" s="199">
        <v>1</v>
      </c>
      <c r="F608" s="199" t="s">
        <v>25</v>
      </c>
      <c r="G608" s="199" t="s">
        <v>3930</v>
      </c>
      <c r="H608" s="200">
        <v>386.67</v>
      </c>
      <c r="I608" s="199" t="s">
        <v>38</v>
      </c>
      <c r="J608" s="199" t="s">
        <v>492</v>
      </c>
      <c r="K608" s="201" t="s">
        <v>3931</v>
      </c>
      <c r="L608" s="199" t="s">
        <v>38</v>
      </c>
      <c r="M608" s="199" t="s">
        <v>3320</v>
      </c>
    </row>
    <row r="609" spans="1:13" ht="57">
      <c r="A609" s="199">
        <v>608</v>
      </c>
      <c r="B609" s="199" t="s">
        <v>3964</v>
      </c>
      <c r="C609" s="199" t="s">
        <v>25</v>
      </c>
      <c r="D609" s="199" t="s">
        <v>17</v>
      </c>
      <c r="E609" s="199">
        <v>1</v>
      </c>
      <c r="F609" s="199" t="s">
        <v>25</v>
      </c>
      <c r="G609" s="199" t="s">
        <v>3930</v>
      </c>
      <c r="H609" s="200">
        <v>500</v>
      </c>
      <c r="I609" s="199" t="s">
        <v>38</v>
      </c>
      <c r="J609" s="199" t="s">
        <v>492</v>
      </c>
      <c r="K609" s="201" t="s">
        <v>3931</v>
      </c>
      <c r="L609" s="199" t="s">
        <v>38</v>
      </c>
      <c r="M609" s="199" t="s">
        <v>3320</v>
      </c>
    </row>
    <row r="610" spans="1:13" ht="57">
      <c r="A610" s="199">
        <v>609</v>
      </c>
      <c r="B610" s="199" t="s">
        <v>3965</v>
      </c>
      <c r="C610" s="199" t="s">
        <v>25</v>
      </c>
      <c r="D610" s="199" t="s">
        <v>17</v>
      </c>
      <c r="E610" s="199">
        <v>1</v>
      </c>
      <c r="F610" s="199" t="s">
        <v>25</v>
      </c>
      <c r="G610" s="199" t="s">
        <v>3930</v>
      </c>
      <c r="H610" s="200">
        <v>500</v>
      </c>
      <c r="I610" s="199" t="s">
        <v>38</v>
      </c>
      <c r="J610" s="199" t="s">
        <v>492</v>
      </c>
      <c r="K610" s="201" t="s">
        <v>3931</v>
      </c>
      <c r="L610" s="199" t="s">
        <v>38</v>
      </c>
      <c r="M610" s="199" t="s">
        <v>3320</v>
      </c>
    </row>
    <row r="611" spans="1:13" ht="57">
      <c r="A611" s="199">
        <v>610</v>
      </c>
      <c r="B611" s="199" t="s">
        <v>3966</v>
      </c>
      <c r="C611" s="199" t="s">
        <v>25</v>
      </c>
      <c r="D611" s="199" t="s">
        <v>17</v>
      </c>
      <c r="E611" s="199">
        <v>1</v>
      </c>
      <c r="F611" s="199" t="s">
        <v>25</v>
      </c>
      <c r="G611" s="199" t="s">
        <v>3930</v>
      </c>
      <c r="H611" s="200">
        <v>500</v>
      </c>
      <c r="I611" s="199" t="s">
        <v>38</v>
      </c>
      <c r="J611" s="199" t="s">
        <v>492</v>
      </c>
      <c r="K611" s="201" t="s">
        <v>3931</v>
      </c>
      <c r="L611" s="199" t="s">
        <v>38</v>
      </c>
      <c r="M611" s="199" t="s">
        <v>3320</v>
      </c>
    </row>
    <row r="612" spans="1:13" ht="57">
      <c r="A612" s="199">
        <v>611</v>
      </c>
      <c r="B612" s="199" t="s">
        <v>3967</v>
      </c>
      <c r="C612" s="199" t="s">
        <v>25</v>
      </c>
      <c r="D612" s="199" t="s">
        <v>17</v>
      </c>
      <c r="E612" s="199">
        <v>1</v>
      </c>
      <c r="F612" s="199" t="s">
        <v>25</v>
      </c>
      <c r="G612" s="199" t="s">
        <v>3930</v>
      </c>
      <c r="H612" s="200">
        <v>500</v>
      </c>
      <c r="I612" s="199" t="s">
        <v>38</v>
      </c>
      <c r="J612" s="199" t="s">
        <v>492</v>
      </c>
      <c r="K612" s="201" t="s">
        <v>3931</v>
      </c>
      <c r="L612" s="199" t="s">
        <v>38</v>
      </c>
      <c r="M612" s="199" t="s">
        <v>3320</v>
      </c>
    </row>
    <row r="613" spans="1:13" ht="57">
      <c r="A613" s="199">
        <v>612</v>
      </c>
      <c r="B613" s="199" t="s">
        <v>3968</v>
      </c>
      <c r="C613" s="199" t="s">
        <v>25</v>
      </c>
      <c r="D613" s="199" t="s">
        <v>17</v>
      </c>
      <c r="E613" s="199">
        <v>16</v>
      </c>
      <c r="F613" s="199" t="s">
        <v>25</v>
      </c>
      <c r="G613" s="199" t="s">
        <v>3930</v>
      </c>
      <c r="H613" s="200">
        <v>4586.72</v>
      </c>
      <c r="I613" s="199" t="s">
        <v>38</v>
      </c>
      <c r="J613" s="199" t="s">
        <v>492</v>
      </c>
      <c r="K613" s="201" t="s">
        <v>3931</v>
      </c>
      <c r="L613" s="199" t="s">
        <v>38</v>
      </c>
      <c r="M613" s="199" t="s">
        <v>3320</v>
      </c>
    </row>
    <row r="614" spans="1:13" ht="57">
      <c r="A614" s="199">
        <v>613</v>
      </c>
      <c r="B614" s="199" t="s">
        <v>3969</v>
      </c>
      <c r="C614" s="199" t="s">
        <v>25</v>
      </c>
      <c r="D614" s="199" t="s">
        <v>17</v>
      </c>
      <c r="E614" s="199">
        <v>17</v>
      </c>
      <c r="F614" s="199" t="s">
        <v>25</v>
      </c>
      <c r="G614" s="199" t="s">
        <v>3930</v>
      </c>
      <c r="H614" s="200">
        <v>3116.61</v>
      </c>
      <c r="I614" s="199" t="s">
        <v>38</v>
      </c>
      <c r="J614" s="199" t="s">
        <v>492</v>
      </c>
      <c r="K614" s="201" t="s">
        <v>3931</v>
      </c>
      <c r="L614" s="199" t="s">
        <v>38</v>
      </c>
      <c r="M614" s="199" t="s">
        <v>3320</v>
      </c>
    </row>
    <row r="615" spans="1:13" ht="57">
      <c r="A615" s="199">
        <v>614</v>
      </c>
      <c r="B615" s="199" t="s">
        <v>3970</v>
      </c>
      <c r="C615" s="199" t="s">
        <v>25</v>
      </c>
      <c r="D615" s="199" t="s">
        <v>17</v>
      </c>
      <c r="E615" s="199">
        <v>35</v>
      </c>
      <c r="F615" s="199" t="s">
        <v>25</v>
      </c>
      <c r="G615" s="199" t="s">
        <v>3930</v>
      </c>
      <c r="H615" s="200">
        <v>2916.55</v>
      </c>
      <c r="I615" s="199" t="s">
        <v>38</v>
      </c>
      <c r="J615" s="199" t="s">
        <v>492</v>
      </c>
      <c r="K615" s="201" t="s">
        <v>3931</v>
      </c>
      <c r="L615" s="199" t="s">
        <v>38</v>
      </c>
      <c r="M615" s="199" t="s">
        <v>3320</v>
      </c>
    </row>
    <row r="616" spans="1:13" ht="57">
      <c r="A616" s="199">
        <v>615</v>
      </c>
      <c r="B616" s="199" t="s">
        <v>3971</v>
      </c>
      <c r="C616" s="199" t="s">
        <v>25</v>
      </c>
      <c r="D616" s="199" t="s">
        <v>17</v>
      </c>
      <c r="E616" s="199">
        <v>9</v>
      </c>
      <c r="F616" s="199" t="s">
        <v>25</v>
      </c>
      <c r="G616" s="199" t="s">
        <v>3930</v>
      </c>
      <c r="H616" s="200">
        <v>3269.97</v>
      </c>
      <c r="I616" s="199" t="s">
        <v>38</v>
      </c>
      <c r="J616" s="199" t="s">
        <v>492</v>
      </c>
      <c r="K616" s="201" t="s">
        <v>3931</v>
      </c>
      <c r="L616" s="199" t="s">
        <v>38</v>
      </c>
      <c r="M616" s="199" t="s">
        <v>3320</v>
      </c>
    </row>
    <row r="617" spans="1:13" ht="57">
      <c r="A617" s="199">
        <v>616</v>
      </c>
      <c r="B617" s="199" t="s">
        <v>3972</v>
      </c>
      <c r="C617" s="199" t="s">
        <v>25</v>
      </c>
      <c r="D617" s="199" t="s">
        <v>17</v>
      </c>
      <c r="E617" s="199">
        <v>9</v>
      </c>
      <c r="F617" s="199" t="s">
        <v>25</v>
      </c>
      <c r="G617" s="199" t="s">
        <v>3930</v>
      </c>
      <c r="H617" s="200">
        <v>749.97</v>
      </c>
      <c r="I617" s="199" t="s">
        <v>38</v>
      </c>
      <c r="J617" s="199" t="s">
        <v>492</v>
      </c>
      <c r="K617" s="201" t="s">
        <v>3931</v>
      </c>
      <c r="L617" s="199" t="s">
        <v>38</v>
      </c>
      <c r="M617" s="199" t="s">
        <v>3320</v>
      </c>
    </row>
    <row r="618" spans="1:13" ht="57">
      <c r="A618" s="199">
        <v>617</v>
      </c>
      <c r="B618" s="199" t="s">
        <v>3973</v>
      </c>
      <c r="C618" s="199" t="s">
        <v>25</v>
      </c>
      <c r="D618" s="199" t="s">
        <v>17</v>
      </c>
      <c r="E618" s="199">
        <v>3</v>
      </c>
      <c r="F618" s="199" t="s">
        <v>25</v>
      </c>
      <c r="G618" s="199" t="s">
        <v>3930</v>
      </c>
      <c r="H618" s="200">
        <v>1010.01</v>
      </c>
      <c r="I618" s="199" t="s">
        <v>38</v>
      </c>
      <c r="J618" s="199" t="s">
        <v>492</v>
      </c>
      <c r="K618" s="201" t="s">
        <v>3931</v>
      </c>
      <c r="L618" s="199" t="s">
        <v>38</v>
      </c>
      <c r="M618" s="199" t="s">
        <v>3320</v>
      </c>
    </row>
    <row r="619" spans="1:13" ht="57">
      <c r="A619" s="199">
        <v>618</v>
      </c>
      <c r="B619" s="199" t="s">
        <v>3974</v>
      </c>
      <c r="C619" s="199" t="s">
        <v>25</v>
      </c>
      <c r="D619" s="199" t="s">
        <v>17</v>
      </c>
      <c r="E619" s="199">
        <v>10</v>
      </c>
      <c r="F619" s="199" t="s">
        <v>25</v>
      </c>
      <c r="G619" s="199" t="s">
        <v>3930</v>
      </c>
      <c r="H619" s="200">
        <v>3666.7</v>
      </c>
      <c r="I619" s="199" t="s">
        <v>38</v>
      </c>
      <c r="J619" s="199" t="s">
        <v>492</v>
      </c>
      <c r="K619" s="201" t="s">
        <v>3931</v>
      </c>
      <c r="L619" s="199" t="s">
        <v>38</v>
      </c>
      <c r="M619" s="199" t="s">
        <v>3320</v>
      </c>
    </row>
    <row r="620" spans="1:13" ht="57">
      <c r="A620" s="199">
        <v>619</v>
      </c>
      <c r="B620" s="199" t="s">
        <v>3975</v>
      </c>
      <c r="C620" s="199" t="s">
        <v>25</v>
      </c>
      <c r="D620" s="199" t="s">
        <v>17</v>
      </c>
      <c r="E620" s="199">
        <v>252</v>
      </c>
      <c r="F620" s="199" t="s">
        <v>25</v>
      </c>
      <c r="G620" s="199" t="s">
        <v>3930</v>
      </c>
      <c r="H620" s="200">
        <v>61533.36</v>
      </c>
      <c r="I620" s="199" t="s">
        <v>38</v>
      </c>
      <c r="J620" s="199" t="s">
        <v>492</v>
      </c>
      <c r="K620" s="201" t="s">
        <v>3931</v>
      </c>
      <c r="L620" s="199" t="s">
        <v>38</v>
      </c>
      <c r="M620" s="199" t="s">
        <v>3320</v>
      </c>
    </row>
    <row r="621" spans="1:13" ht="57">
      <c r="A621" s="199">
        <v>620</v>
      </c>
      <c r="B621" s="199" t="s">
        <v>3933</v>
      </c>
      <c r="C621" s="199" t="s">
        <v>25</v>
      </c>
      <c r="D621" s="199" t="s">
        <v>17</v>
      </c>
      <c r="E621" s="199">
        <v>15</v>
      </c>
      <c r="F621" s="199" t="s">
        <v>25</v>
      </c>
      <c r="G621" s="199" t="s">
        <v>3930</v>
      </c>
      <c r="H621" s="200">
        <v>4500</v>
      </c>
      <c r="I621" s="199" t="s">
        <v>38</v>
      </c>
      <c r="J621" s="199" t="s">
        <v>492</v>
      </c>
      <c r="K621" s="201" t="s">
        <v>3931</v>
      </c>
      <c r="L621" s="199" t="s">
        <v>38</v>
      </c>
      <c r="M621" s="199" t="s">
        <v>3320</v>
      </c>
    </row>
    <row r="622" spans="1:13" ht="57">
      <c r="A622" s="199">
        <v>621</v>
      </c>
      <c r="B622" s="199" t="s">
        <v>3934</v>
      </c>
      <c r="C622" s="199" t="s">
        <v>25</v>
      </c>
      <c r="D622" s="199" t="s">
        <v>17</v>
      </c>
      <c r="E622" s="199">
        <v>1</v>
      </c>
      <c r="F622" s="199" t="s">
        <v>25</v>
      </c>
      <c r="G622" s="199" t="s">
        <v>3930</v>
      </c>
      <c r="H622" s="200">
        <v>300</v>
      </c>
      <c r="I622" s="199" t="s">
        <v>38</v>
      </c>
      <c r="J622" s="199" t="s">
        <v>492</v>
      </c>
      <c r="K622" s="201" t="s">
        <v>3931</v>
      </c>
      <c r="L622" s="199" t="s">
        <v>38</v>
      </c>
      <c r="M622" s="199" t="s">
        <v>3320</v>
      </c>
    </row>
    <row r="623" spans="1:13" ht="57">
      <c r="A623" s="199">
        <v>622</v>
      </c>
      <c r="B623" s="199" t="s">
        <v>3935</v>
      </c>
      <c r="C623" s="199" t="s">
        <v>25</v>
      </c>
      <c r="D623" s="199" t="s">
        <v>17</v>
      </c>
      <c r="E623" s="199">
        <v>3</v>
      </c>
      <c r="F623" s="199" t="s">
        <v>25</v>
      </c>
      <c r="G623" s="199" t="s">
        <v>3930</v>
      </c>
      <c r="H623" s="200">
        <v>900</v>
      </c>
      <c r="I623" s="199" t="s">
        <v>38</v>
      </c>
      <c r="J623" s="199" t="s">
        <v>492</v>
      </c>
      <c r="K623" s="201" t="s">
        <v>3931</v>
      </c>
      <c r="L623" s="199" t="s">
        <v>38</v>
      </c>
      <c r="M623" s="199" t="s">
        <v>3320</v>
      </c>
    </row>
    <row r="624" spans="1:13" ht="57">
      <c r="A624" s="199">
        <v>623</v>
      </c>
      <c r="B624" s="199" t="s">
        <v>3976</v>
      </c>
      <c r="C624" s="199" t="s">
        <v>25</v>
      </c>
      <c r="D624" s="199" t="s">
        <v>17</v>
      </c>
      <c r="E624" s="199">
        <v>4</v>
      </c>
      <c r="F624" s="199" t="s">
        <v>25</v>
      </c>
      <c r="G624" s="199" t="s">
        <v>3930</v>
      </c>
      <c r="H624" s="200">
        <v>1200</v>
      </c>
      <c r="I624" s="199" t="s">
        <v>38</v>
      </c>
      <c r="J624" s="199" t="s">
        <v>492</v>
      </c>
      <c r="K624" s="201" t="s">
        <v>3931</v>
      </c>
      <c r="L624" s="199" t="s">
        <v>38</v>
      </c>
      <c r="M624" s="199" t="s">
        <v>3320</v>
      </c>
    </row>
    <row r="625" spans="1:13" ht="57">
      <c r="A625" s="199">
        <v>624</v>
      </c>
      <c r="B625" s="199" t="s">
        <v>3977</v>
      </c>
      <c r="C625" s="199" t="s">
        <v>25</v>
      </c>
      <c r="D625" s="199" t="s">
        <v>17</v>
      </c>
      <c r="E625" s="199">
        <v>3</v>
      </c>
      <c r="F625" s="199" t="s">
        <v>25</v>
      </c>
      <c r="G625" s="199" t="s">
        <v>3930</v>
      </c>
      <c r="H625" s="200">
        <v>900</v>
      </c>
      <c r="I625" s="199" t="s">
        <v>38</v>
      </c>
      <c r="J625" s="199" t="s">
        <v>492</v>
      </c>
      <c r="K625" s="201" t="s">
        <v>3931</v>
      </c>
      <c r="L625" s="199" t="s">
        <v>38</v>
      </c>
      <c r="M625" s="199" t="s">
        <v>3320</v>
      </c>
    </row>
    <row r="626" spans="1:13" ht="71.25">
      <c r="A626" s="199">
        <v>625</v>
      </c>
      <c r="B626" s="199" t="s">
        <v>3938</v>
      </c>
      <c r="C626" s="199" t="s">
        <v>25</v>
      </c>
      <c r="D626" s="199" t="s">
        <v>17</v>
      </c>
      <c r="E626" s="199">
        <v>1</v>
      </c>
      <c r="F626" s="199" t="s">
        <v>25</v>
      </c>
      <c r="G626" s="199" t="s">
        <v>3930</v>
      </c>
      <c r="H626" s="200">
        <v>300</v>
      </c>
      <c r="I626" s="199" t="s">
        <v>38</v>
      </c>
      <c r="J626" s="199" t="s">
        <v>492</v>
      </c>
      <c r="K626" s="201" t="s">
        <v>3931</v>
      </c>
      <c r="L626" s="199" t="s">
        <v>38</v>
      </c>
      <c r="M626" s="199" t="s">
        <v>3320</v>
      </c>
    </row>
    <row r="627" spans="1:13" ht="57">
      <c r="A627" s="199">
        <v>626</v>
      </c>
      <c r="B627" s="199" t="s">
        <v>3939</v>
      </c>
      <c r="C627" s="199" t="s">
        <v>25</v>
      </c>
      <c r="D627" s="199" t="s">
        <v>17</v>
      </c>
      <c r="E627" s="199">
        <v>1</v>
      </c>
      <c r="F627" s="199" t="s">
        <v>25</v>
      </c>
      <c r="G627" s="199" t="s">
        <v>3930</v>
      </c>
      <c r="H627" s="200">
        <v>300</v>
      </c>
      <c r="I627" s="199" t="s">
        <v>38</v>
      </c>
      <c r="J627" s="199" t="s">
        <v>492</v>
      </c>
      <c r="K627" s="201" t="s">
        <v>3931</v>
      </c>
      <c r="L627" s="199" t="s">
        <v>38</v>
      </c>
      <c r="M627" s="199" t="s">
        <v>3320</v>
      </c>
    </row>
    <row r="628" spans="1:13" ht="57">
      <c r="A628" s="199">
        <v>627</v>
      </c>
      <c r="B628" s="199" t="s">
        <v>3978</v>
      </c>
      <c r="C628" s="199" t="s">
        <v>25</v>
      </c>
      <c r="D628" s="199" t="s">
        <v>17</v>
      </c>
      <c r="E628" s="199">
        <v>1</v>
      </c>
      <c r="F628" s="199" t="s">
        <v>25</v>
      </c>
      <c r="G628" s="199" t="s">
        <v>3930</v>
      </c>
      <c r="H628" s="200">
        <v>300</v>
      </c>
      <c r="I628" s="199" t="s">
        <v>38</v>
      </c>
      <c r="J628" s="199" t="s">
        <v>492</v>
      </c>
      <c r="K628" s="201" t="s">
        <v>3931</v>
      </c>
      <c r="L628" s="199" t="s">
        <v>38</v>
      </c>
      <c r="M628" s="199" t="s">
        <v>3320</v>
      </c>
    </row>
    <row r="629" spans="1:13" ht="57">
      <c r="A629" s="199">
        <v>628</v>
      </c>
      <c r="B629" s="199" t="s">
        <v>3942</v>
      </c>
      <c r="C629" s="199" t="s">
        <v>25</v>
      </c>
      <c r="D629" s="199" t="s">
        <v>17</v>
      </c>
      <c r="E629" s="199">
        <v>11</v>
      </c>
      <c r="F629" s="199" t="s">
        <v>25</v>
      </c>
      <c r="G629" s="199" t="s">
        <v>3930</v>
      </c>
      <c r="H629" s="200">
        <v>3300</v>
      </c>
      <c r="I629" s="199" t="s">
        <v>38</v>
      </c>
      <c r="J629" s="199" t="s">
        <v>492</v>
      </c>
      <c r="K629" s="201" t="s">
        <v>3931</v>
      </c>
      <c r="L629" s="199" t="s">
        <v>38</v>
      </c>
      <c r="M629" s="199" t="s">
        <v>3320</v>
      </c>
    </row>
    <row r="630" spans="1:13" ht="57">
      <c r="A630" s="199">
        <v>629</v>
      </c>
      <c r="B630" s="199" t="s">
        <v>3979</v>
      </c>
      <c r="C630" s="199" t="s">
        <v>25</v>
      </c>
      <c r="D630" s="199" t="s">
        <v>17</v>
      </c>
      <c r="E630" s="199">
        <v>6</v>
      </c>
      <c r="F630" s="199" t="s">
        <v>25</v>
      </c>
      <c r="G630" s="199" t="s">
        <v>3930</v>
      </c>
      <c r="H630" s="200">
        <v>1800</v>
      </c>
      <c r="I630" s="199" t="s">
        <v>38</v>
      </c>
      <c r="J630" s="199" t="s">
        <v>492</v>
      </c>
      <c r="K630" s="201" t="s">
        <v>3931</v>
      </c>
      <c r="L630" s="199" t="s">
        <v>38</v>
      </c>
      <c r="M630" s="199" t="s">
        <v>3320</v>
      </c>
    </row>
    <row r="631" spans="1:13" ht="57">
      <c r="A631" s="199">
        <v>630</v>
      </c>
      <c r="B631" s="199" t="s">
        <v>3980</v>
      </c>
      <c r="C631" s="199" t="s">
        <v>25</v>
      </c>
      <c r="D631" s="199" t="s">
        <v>17</v>
      </c>
      <c r="E631" s="199">
        <v>2</v>
      </c>
      <c r="F631" s="199" t="s">
        <v>25</v>
      </c>
      <c r="G631" s="199" t="s">
        <v>3930</v>
      </c>
      <c r="H631" s="200">
        <v>600</v>
      </c>
      <c r="I631" s="199" t="s">
        <v>38</v>
      </c>
      <c r="J631" s="199" t="s">
        <v>492</v>
      </c>
      <c r="K631" s="201" t="s">
        <v>3931</v>
      </c>
      <c r="L631" s="199" t="s">
        <v>38</v>
      </c>
      <c r="M631" s="199" t="s">
        <v>3320</v>
      </c>
    </row>
    <row r="632" spans="1:13" ht="57">
      <c r="A632" s="199">
        <v>631</v>
      </c>
      <c r="B632" s="199" t="s">
        <v>3981</v>
      </c>
      <c r="C632" s="199" t="s">
        <v>25</v>
      </c>
      <c r="D632" s="199" t="s">
        <v>17</v>
      </c>
      <c r="E632" s="199">
        <v>4</v>
      </c>
      <c r="F632" s="199" t="s">
        <v>25</v>
      </c>
      <c r="G632" s="199" t="s">
        <v>3930</v>
      </c>
      <c r="H632" s="200">
        <v>1200</v>
      </c>
      <c r="I632" s="199" t="s">
        <v>38</v>
      </c>
      <c r="J632" s="199" t="s">
        <v>492</v>
      </c>
      <c r="K632" s="201" t="s">
        <v>3931</v>
      </c>
      <c r="L632" s="199" t="s">
        <v>38</v>
      </c>
      <c r="M632" s="199" t="s">
        <v>3320</v>
      </c>
    </row>
    <row r="633" spans="1:13" ht="57">
      <c r="A633" s="199">
        <v>632</v>
      </c>
      <c r="B633" s="199" t="s">
        <v>3948</v>
      </c>
      <c r="C633" s="199" t="s">
        <v>25</v>
      </c>
      <c r="D633" s="199" t="s">
        <v>17</v>
      </c>
      <c r="E633" s="199">
        <v>2</v>
      </c>
      <c r="F633" s="199" t="s">
        <v>25</v>
      </c>
      <c r="G633" s="199" t="s">
        <v>3930</v>
      </c>
      <c r="H633" s="200">
        <v>1566.66</v>
      </c>
      <c r="I633" s="199" t="s">
        <v>38</v>
      </c>
      <c r="J633" s="199" t="s">
        <v>492</v>
      </c>
      <c r="K633" s="201" t="s">
        <v>3931</v>
      </c>
      <c r="L633" s="199" t="s">
        <v>38</v>
      </c>
      <c r="M633" s="199" t="s">
        <v>3320</v>
      </c>
    </row>
    <row r="634" spans="1:13" ht="57">
      <c r="A634" s="199">
        <v>633</v>
      </c>
      <c r="B634" s="199" t="s">
        <v>3982</v>
      </c>
      <c r="C634" s="199" t="s">
        <v>25</v>
      </c>
      <c r="D634" s="199" t="s">
        <v>17</v>
      </c>
      <c r="E634" s="199">
        <v>19</v>
      </c>
      <c r="F634" s="199" t="s">
        <v>25</v>
      </c>
      <c r="G634" s="199" t="s">
        <v>3930</v>
      </c>
      <c r="H634" s="200">
        <v>22800</v>
      </c>
      <c r="I634" s="199" t="s">
        <v>38</v>
      </c>
      <c r="J634" s="199" t="s">
        <v>492</v>
      </c>
      <c r="K634" s="201" t="s">
        <v>3931</v>
      </c>
      <c r="L634" s="199" t="s">
        <v>38</v>
      </c>
      <c r="M634" s="199" t="s">
        <v>3320</v>
      </c>
    </row>
    <row r="635" spans="1:13" ht="57">
      <c r="A635" s="199">
        <v>634</v>
      </c>
      <c r="B635" s="199" t="s">
        <v>3983</v>
      </c>
      <c r="C635" s="199" t="s">
        <v>25</v>
      </c>
      <c r="D635" s="199" t="s">
        <v>17</v>
      </c>
      <c r="E635" s="199">
        <v>2</v>
      </c>
      <c r="F635" s="199" t="s">
        <v>25</v>
      </c>
      <c r="G635" s="199" t="s">
        <v>3930</v>
      </c>
      <c r="H635" s="200">
        <v>640</v>
      </c>
      <c r="I635" s="199" t="s">
        <v>38</v>
      </c>
      <c r="J635" s="199" t="s">
        <v>492</v>
      </c>
      <c r="K635" s="201" t="s">
        <v>3931</v>
      </c>
      <c r="L635" s="199" t="s">
        <v>38</v>
      </c>
      <c r="M635" s="199" t="s">
        <v>3320</v>
      </c>
    </row>
    <row r="636" spans="1:13" ht="57">
      <c r="A636" s="199">
        <v>635</v>
      </c>
      <c r="B636" s="199" t="s">
        <v>3963</v>
      </c>
      <c r="C636" s="199" t="s">
        <v>25</v>
      </c>
      <c r="D636" s="199" t="s">
        <v>17</v>
      </c>
      <c r="E636" s="199">
        <v>1</v>
      </c>
      <c r="F636" s="199" t="s">
        <v>25</v>
      </c>
      <c r="G636" s="199" t="s">
        <v>3930</v>
      </c>
      <c r="H636" s="200">
        <v>1133.33</v>
      </c>
      <c r="I636" s="199" t="s">
        <v>38</v>
      </c>
      <c r="J636" s="199" t="s">
        <v>492</v>
      </c>
      <c r="K636" s="201" t="s">
        <v>3931</v>
      </c>
      <c r="L636" s="199" t="s">
        <v>38</v>
      </c>
      <c r="M636" s="199" t="s">
        <v>3320</v>
      </c>
    </row>
    <row r="637" spans="1:13" ht="57">
      <c r="A637" s="199">
        <v>636</v>
      </c>
      <c r="B637" s="199" t="s">
        <v>3964</v>
      </c>
      <c r="C637" s="199" t="s">
        <v>25</v>
      </c>
      <c r="D637" s="199" t="s">
        <v>17</v>
      </c>
      <c r="E637" s="199">
        <v>1</v>
      </c>
      <c r="F637" s="199" t="s">
        <v>25</v>
      </c>
      <c r="G637" s="199" t="s">
        <v>3930</v>
      </c>
      <c r="H637" s="200">
        <v>560</v>
      </c>
      <c r="I637" s="199" t="s">
        <v>38</v>
      </c>
      <c r="J637" s="199" t="s">
        <v>492</v>
      </c>
      <c r="K637" s="201" t="s">
        <v>3931</v>
      </c>
      <c r="L637" s="199" t="s">
        <v>38</v>
      </c>
      <c r="M637" s="199" t="s">
        <v>3320</v>
      </c>
    </row>
    <row r="638" spans="1:13" ht="57">
      <c r="A638" s="199">
        <v>637</v>
      </c>
      <c r="B638" s="199" t="s">
        <v>3965</v>
      </c>
      <c r="C638" s="199" t="s">
        <v>25</v>
      </c>
      <c r="D638" s="199" t="s">
        <v>17</v>
      </c>
      <c r="E638" s="199">
        <v>1</v>
      </c>
      <c r="F638" s="199" t="s">
        <v>25</v>
      </c>
      <c r="G638" s="199" t="s">
        <v>3930</v>
      </c>
      <c r="H638" s="200">
        <v>560</v>
      </c>
      <c r="I638" s="199" t="s">
        <v>38</v>
      </c>
      <c r="J638" s="199" t="s">
        <v>492</v>
      </c>
      <c r="K638" s="201" t="s">
        <v>3931</v>
      </c>
      <c r="L638" s="199" t="s">
        <v>38</v>
      </c>
      <c r="M638" s="199" t="s">
        <v>3320</v>
      </c>
    </row>
    <row r="639" spans="1:13" ht="57">
      <c r="A639" s="199">
        <v>638</v>
      </c>
      <c r="B639" s="199" t="s">
        <v>3971</v>
      </c>
      <c r="C639" s="199" t="s">
        <v>25</v>
      </c>
      <c r="D639" s="199" t="s">
        <v>17</v>
      </c>
      <c r="E639" s="199">
        <v>9</v>
      </c>
      <c r="F639" s="199" t="s">
        <v>25</v>
      </c>
      <c r="G639" s="199" t="s">
        <v>3930</v>
      </c>
      <c r="H639" s="200">
        <v>3330</v>
      </c>
      <c r="I639" s="199" t="s">
        <v>38</v>
      </c>
      <c r="J639" s="199" t="s">
        <v>492</v>
      </c>
      <c r="K639" s="201" t="s">
        <v>3931</v>
      </c>
      <c r="L639" s="199" t="s">
        <v>38</v>
      </c>
      <c r="M639" s="199" t="s">
        <v>3320</v>
      </c>
    </row>
    <row r="640" spans="1:13" ht="57">
      <c r="A640" s="199">
        <v>639</v>
      </c>
      <c r="B640" s="199" t="s">
        <v>3972</v>
      </c>
      <c r="C640" s="199" t="s">
        <v>25</v>
      </c>
      <c r="D640" s="199" t="s">
        <v>17</v>
      </c>
      <c r="E640" s="199">
        <v>9</v>
      </c>
      <c r="F640" s="199" t="s">
        <v>25</v>
      </c>
      <c r="G640" s="199" t="s">
        <v>3930</v>
      </c>
      <c r="H640" s="200">
        <v>1800</v>
      </c>
      <c r="I640" s="199" t="s">
        <v>38</v>
      </c>
      <c r="J640" s="199" t="s">
        <v>492</v>
      </c>
      <c r="K640" s="201" t="s">
        <v>3931</v>
      </c>
      <c r="L640" s="199" t="s">
        <v>38</v>
      </c>
      <c r="M640" s="199" t="s">
        <v>3320</v>
      </c>
    </row>
    <row r="641" spans="1:13" ht="57">
      <c r="A641" s="199">
        <v>640</v>
      </c>
      <c r="B641" s="199" t="s">
        <v>3974</v>
      </c>
      <c r="C641" s="199" t="s">
        <v>25</v>
      </c>
      <c r="D641" s="199" t="s">
        <v>17</v>
      </c>
      <c r="E641" s="199">
        <v>10</v>
      </c>
      <c r="F641" s="199" t="s">
        <v>25</v>
      </c>
      <c r="G641" s="199" t="s">
        <v>3930</v>
      </c>
      <c r="H641" s="200">
        <v>3200</v>
      </c>
      <c r="I641" s="199" t="s">
        <v>38</v>
      </c>
      <c r="J641" s="199" t="s">
        <v>492</v>
      </c>
      <c r="K641" s="201" t="s">
        <v>3931</v>
      </c>
      <c r="L641" s="199" t="s">
        <v>38</v>
      </c>
      <c r="M641" s="199" t="s">
        <v>3320</v>
      </c>
    </row>
    <row r="642" spans="1:13" ht="384.75">
      <c r="A642" s="199">
        <v>641</v>
      </c>
      <c r="B642" s="199" t="s">
        <v>3984</v>
      </c>
      <c r="C642" s="199" t="s">
        <v>25</v>
      </c>
      <c r="D642" s="199" t="s">
        <v>17</v>
      </c>
      <c r="E642" s="199">
        <v>5</v>
      </c>
      <c r="F642" s="199" t="s">
        <v>25</v>
      </c>
      <c r="G642" s="199" t="s">
        <v>3930</v>
      </c>
      <c r="H642" s="200">
        <v>1683.35</v>
      </c>
      <c r="I642" s="199" t="s">
        <v>38</v>
      </c>
      <c r="J642" s="199" t="s">
        <v>492</v>
      </c>
      <c r="K642" s="201" t="s">
        <v>3931</v>
      </c>
      <c r="L642" s="199" t="s">
        <v>38</v>
      </c>
      <c r="M642" s="199" t="s">
        <v>3320</v>
      </c>
    </row>
    <row r="643" spans="1:13" ht="384.75">
      <c r="A643" s="199">
        <v>642</v>
      </c>
      <c r="B643" s="199" t="s">
        <v>3985</v>
      </c>
      <c r="C643" s="199" t="s">
        <v>25</v>
      </c>
      <c r="D643" s="199" t="s">
        <v>17</v>
      </c>
      <c r="E643" s="199">
        <v>8</v>
      </c>
      <c r="F643" s="199" t="s">
        <v>25</v>
      </c>
      <c r="G643" s="199" t="s">
        <v>3930</v>
      </c>
      <c r="H643" s="200">
        <v>306.64</v>
      </c>
      <c r="I643" s="199" t="s">
        <v>38</v>
      </c>
      <c r="J643" s="199" t="s">
        <v>492</v>
      </c>
      <c r="K643" s="201" t="s">
        <v>3931</v>
      </c>
      <c r="L643" s="199" t="s">
        <v>38</v>
      </c>
      <c r="M643" s="199" t="s">
        <v>3320</v>
      </c>
    </row>
    <row r="644" spans="1:13" ht="370.5">
      <c r="A644" s="199">
        <v>643</v>
      </c>
      <c r="B644" s="199" t="s">
        <v>3986</v>
      </c>
      <c r="C644" s="199" t="s">
        <v>25</v>
      </c>
      <c r="D644" s="199" t="s">
        <v>17</v>
      </c>
      <c r="E644" s="199">
        <v>15</v>
      </c>
      <c r="F644" s="199" t="s">
        <v>25</v>
      </c>
      <c r="G644" s="199" t="s">
        <v>3930</v>
      </c>
      <c r="H644" s="200">
        <v>2400</v>
      </c>
      <c r="I644" s="199" t="s">
        <v>38</v>
      </c>
      <c r="J644" s="199" t="s">
        <v>492</v>
      </c>
      <c r="K644" s="201" t="s">
        <v>3931</v>
      </c>
      <c r="L644" s="199" t="s">
        <v>38</v>
      </c>
      <c r="M644" s="199" t="s">
        <v>3320</v>
      </c>
    </row>
    <row r="645" spans="1:13" ht="356.25">
      <c r="A645" s="199">
        <v>644</v>
      </c>
      <c r="B645" s="199" t="s">
        <v>3987</v>
      </c>
      <c r="C645" s="199" t="s">
        <v>25</v>
      </c>
      <c r="D645" s="199" t="s">
        <v>17</v>
      </c>
      <c r="E645" s="199">
        <v>1</v>
      </c>
      <c r="F645" s="199" t="s">
        <v>25</v>
      </c>
      <c r="G645" s="199" t="s">
        <v>3930</v>
      </c>
      <c r="H645" s="200">
        <v>160</v>
      </c>
      <c r="I645" s="199" t="s">
        <v>38</v>
      </c>
      <c r="J645" s="199" t="s">
        <v>492</v>
      </c>
      <c r="K645" s="201" t="s">
        <v>3931</v>
      </c>
      <c r="L645" s="199" t="s">
        <v>38</v>
      </c>
      <c r="M645" s="199" t="s">
        <v>3320</v>
      </c>
    </row>
    <row r="646" spans="1:13" ht="356.25">
      <c r="A646" s="199">
        <v>645</v>
      </c>
      <c r="B646" s="199" t="s">
        <v>3988</v>
      </c>
      <c r="C646" s="199" t="s">
        <v>25</v>
      </c>
      <c r="D646" s="199" t="s">
        <v>17</v>
      </c>
      <c r="E646" s="199">
        <v>3</v>
      </c>
      <c r="F646" s="199" t="s">
        <v>25</v>
      </c>
      <c r="G646" s="199" t="s">
        <v>3930</v>
      </c>
      <c r="H646" s="200">
        <v>720</v>
      </c>
      <c r="I646" s="199" t="s">
        <v>38</v>
      </c>
      <c r="J646" s="199" t="s">
        <v>492</v>
      </c>
      <c r="K646" s="201" t="s">
        <v>3931</v>
      </c>
      <c r="L646" s="199" t="s">
        <v>38</v>
      </c>
      <c r="M646" s="199" t="s">
        <v>3320</v>
      </c>
    </row>
    <row r="647" spans="1:13" ht="370.5">
      <c r="A647" s="199">
        <v>646</v>
      </c>
      <c r="B647" s="199" t="s">
        <v>3989</v>
      </c>
      <c r="C647" s="199" t="s">
        <v>25</v>
      </c>
      <c r="D647" s="199" t="s">
        <v>17</v>
      </c>
      <c r="E647" s="199">
        <v>1</v>
      </c>
      <c r="F647" s="199" t="s">
        <v>25</v>
      </c>
      <c r="G647" s="199" t="s">
        <v>3930</v>
      </c>
      <c r="H647" s="200">
        <v>160</v>
      </c>
      <c r="I647" s="199" t="s">
        <v>38</v>
      </c>
      <c r="J647" s="199" t="s">
        <v>492</v>
      </c>
      <c r="K647" s="201" t="s">
        <v>3931</v>
      </c>
      <c r="L647" s="199" t="s">
        <v>38</v>
      </c>
      <c r="M647" s="199" t="s">
        <v>3320</v>
      </c>
    </row>
    <row r="648" spans="1:13" ht="399">
      <c r="A648" s="199">
        <v>647</v>
      </c>
      <c r="B648" s="199" t="s">
        <v>3990</v>
      </c>
      <c r="C648" s="199" t="s">
        <v>25</v>
      </c>
      <c r="D648" s="199" t="s">
        <v>17</v>
      </c>
      <c r="E648" s="199">
        <v>4</v>
      </c>
      <c r="F648" s="199" t="s">
        <v>25</v>
      </c>
      <c r="G648" s="199" t="s">
        <v>3930</v>
      </c>
      <c r="H648" s="200">
        <v>1006.68</v>
      </c>
      <c r="I648" s="199" t="s">
        <v>38</v>
      </c>
      <c r="J648" s="199" t="s">
        <v>492</v>
      </c>
      <c r="K648" s="201" t="s">
        <v>3931</v>
      </c>
      <c r="L648" s="199" t="s">
        <v>38</v>
      </c>
      <c r="M648" s="199" t="s">
        <v>3320</v>
      </c>
    </row>
    <row r="649" spans="1:13" ht="356.25">
      <c r="A649" s="199">
        <v>648</v>
      </c>
      <c r="B649" s="199" t="s">
        <v>3991</v>
      </c>
      <c r="C649" s="199" t="s">
        <v>25</v>
      </c>
      <c r="D649" s="199" t="s">
        <v>17</v>
      </c>
      <c r="E649" s="199">
        <v>2</v>
      </c>
      <c r="F649" s="199" t="s">
        <v>25</v>
      </c>
      <c r="G649" s="199" t="s">
        <v>3930</v>
      </c>
      <c r="H649" s="200">
        <v>300</v>
      </c>
      <c r="I649" s="199" t="s">
        <v>38</v>
      </c>
      <c r="J649" s="199" t="s">
        <v>492</v>
      </c>
      <c r="K649" s="201" t="s">
        <v>3931</v>
      </c>
      <c r="L649" s="199" t="s">
        <v>38</v>
      </c>
      <c r="M649" s="199" t="s">
        <v>3320</v>
      </c>
    </row>
    <row r="650" spans="1:13" ht="342">
      <c r="A650" s="199">
        <v>649</v>
      </c>
      <c r="B650" s="199" t="s">
        <v>3992</v>
      </c>
      <c r="C650" s="199" t="s">
        <v>25</v>
      </c>
      <c r="D650" s="199" t="s">
        <v>17</v>
      </c>
      <c r="E650" s="199">
        <v>4</v>
      </c>
      <c r="F650" s="199" t="s">
        <v>25</v>
      </c>
      <c r="G650" s="199" t="s">
        <v>3930</v>
      </c>
      <c r="H650" s="200">
        <v>960</v>
      </c>
      <c r="I650" s="199" t="s">
        <v>38</v>
      </c>
      <c r="J650" s="199" t="s">
        <v>492</v>
      </c>
      <c r="K650" s="201" t="s">
        <v>3931</v>
      </c>
      <c r="L650" s="199" t="s">
        <v>38</v>
      </c>
      <c r="M650" s="199" t="s">
        <v>3320</v>
      </c>
    </row>
    <row r="651" spans="1:13" ht="327.75">
      <c r="A651" s="199">
        <v>650</v>
      </c>
      <c r="B651" s="199" t="s">
        <v>3993</v>
      </c>
      <c r="C651" s="199" t="s">
        <v>25</v>
      </c>
      <c r="D651" s="199" t="s">
        <v>17</v>
      </c>
      <c r="E651" s="199">
        <v>2</v>
      </c>
      <c r="F651" s="199" t="s">
        <v>25</v>
      </c>
      <c r="G651" s="199" t="s">
        <v>3930</v>
      </c>
      <c r="H651" s="200">
        <v>513.34</v>
      </c>
      <c r="I651" s="199" t="s">
        <v>38</v>
      </c>
      <c r="J651" s="199" t="s">
        <v>492</v>
      </c>
      <c r="K651" s="201" t="s">
        <v>3931</v>
      </c>
      <c r="L651" s="199" t="s">
        <v>38</v>
      </c>
      <c r="M651" s="199" t="s">
        <v>3320</v>
      </c>
    </row>
    <row r="652" spans="1:13" ht="342">
      <c r="A652" s="199">
        <v>651</v>
      </c>
      <c r="B652" s="199" t="s">
        <v>3994</v>
      </c>
      <c r="C652" s="199" t="s">
        <v>25</v>
      </c>
      <c r="D652" s="199" t="s">
        <v>17</v>
      </c>
      <c r="E652" s="199">
        <v>2</v>
      </c>
      <c r="F652" s="199" t="s">
        <v>25</v>
      </c>
      <c r="G652" s="199" t="s">
        <v>3930</v>
      </c>
      <c r="H652" s="200">
        <v>93.34</v>
      </c>
      <c r="I652" s="199" t="s">
        <v>38</v>
      </c>
      <c r="J652" s="199" t="s">
        <v>492</v>
      </c>
      <c r="K652" s="201" t="s">
        <v>3931</v>
      </c>
      <c r="L652" s="199" t="s">
        <v>38</v>
      </c>
      <c r="M652" s="199" t="s">
        <v>3320</v>
      </c>
    </row>
    <row r="653" spans="1:13" ht="356.25">
      <c r="A653" s="199">
        <v>652</v>
      </c>
      <c r="B653" s="199" t="s">
        <v>3995</v>
      </c>
      <c r="C653" s="199" t="s">
        <v>25</v>
      </c>
      <c r="D653" s="199" t="s">
        <v>17</v>
      </c>
      <c r="E653" s="199">
        <v>19</v>
      </c>
      <c r="F653" s="199" t="s">
        <v>25</v>
      </c>
      <c r="G653" s="199" t="s">
        <v>3930</v>
      </c>
      <c r="H653" s="200">
        <v>6270</v>
      </c>
      <c r="I653" s="199" t="s">
        <v>38</v>
      </c>
      <c r="J653" s="199" t="s">
        <v>492</v>
      </c>
      <c r="K653" s="201" t="s">
        <v>3931</v>
      </c>
      <c r="L653" s="199" t="s">
        <v>38</v>
      </c>
      <c r="M653" s="199" t="s">
        <v>3320</v>
      </c>
    </row>
    <row r="654" spans="1:13" ht="327.75">
      <c r="A654" s="199">
        <v>653</v>
      </c>
      <c r="B654" s="199" t="s">
        <v>3996</v>
      </c>
      <c r="C654" s="199" t="s">
        <v>25</v>
      </c>
      <c r="D654" s="199" t="s">
        <v>17</v>
      </c>
      <c r="E654" s="199">
        <v>17</v>
      </c>
      <c r="F654" s="199" t="s">
        <v>25</v>
      </c>
      <c r="G654" s="199" t="s">
        <v>3930</v>
      </c>
      <c r="H654" s="200">
        <v>1246.6099999999999</v>
      </c>
      <c r="I654" s="199" t="s">
        <v>38</v>
      </c>
      <c r="J654" s="199" t="s">
        <v>492</v>
      </c>
      <c r="K654" s="201" t="s">
        <v>3931</v>
      </c>
      <c r="L654" s="199" t="s">
        <v>38</v>
      </c>
      <c r="M654" s="199" t="s">
        <v>3320</v>
      </c>
    </row>
    <row r="655" spans="1:13" ht="370.5">
      <c r="A655" s="199">
        <v>654</v>
      </c>
      <c r="B655" s="199" t="s">
        <v>3997</v>
      </c>
      <c r="C655" s="199" t="s">
        <v>25</v>
      </c>
      <c r="D655" s="199" t="s">
        <v>17</v>
      </c>
      <c r="E655" s="199">
        <v>2</v>
      </c>
      <c r="F655" s="199" t="s">
        <v>25</v>
      </c>
      <c r="G655" s="199" t="s">
        <v>3930</v>
      </c>
      <c r="H655" s="200">
        <v>833.34</v>
      </c>
      <c r="I655" s="199" t="s">
        <v>38</v>
      </c>
      <c r="J655" s="199" t="s">
        <v>492</v>
      </c>
      <c r="K655" s="201" t="s">
        <v>3931</v>
      </c>
      <c r="L655" s="199" t="s">
        <v>38</v>
      </c>
      <c r="M655" s="199" t="s">
        <v>3320</v>
      </c>
    </row>
    <row r="656" spans="1:13" ht="342">
      <c r="A656" s="199">
        <v>655</v>
      </c>
      <c r="B656" s="199" t="s">
        <v>3998</v>
      </c>
      <c r="C656" s="199" t="s">
        <v>25</v>
      </c>
      <c r="D656" s="199" t="s">
        <v>17</v>
      </c>
      <c r="E656" s="199">
        <v>22</v>
      </c>
      <c r="F656" s="199" t="s">
        <v>25</v>
      </c>
      <c r="G656" s="199" t="s">
        <v>3930</v>
      </c>
      <c r="H656" s="200">
        <v>1613.26</v>
      </c>
      <c r="I656" s="199" t="s">
        <v>38</v>
      </c>
      <c r="J656" s="199" t="s">
        <v>492</v>
      </c>
      <c r="K656" s="201" t="s">
        <v>3931</v>
      </c>
      <c r="L656" s="199" t="s">
        <v>38</v>
      </c>
      <c r="M656" s="199" t="s">
        <v>3320</v>
      </c>
    </row>
    <row r="657" spans="1:13" ht="342">
      <c r="A657" s="199">
        <v>656</v>
      </c>
      <c r="B657" s="199" t="s">
        <v>3999</v>
      </c>
      <c r="C657" s="199" t="s">
        <v>25</v>
      </c>
      <c r="D657" s="199" t="s">
        <v>17</v>
      </c>
      <c r="E657" s="199">
        <v>1</v>
      </c>
      <c r="F657" s="199" t="s">
        <v>25</v>
      </c>
      <c r="G657" s="199" t="s">
        <v>3930</v>
      </c>
      <c r="H657" s="200">
        <v>633.33000000000004</v>
      </c>
      <c r="I657" s="199" t="s">
        <v>38</v>
      </c>
      <c r="J657" s="199" t="s">
        <v>492</v>
      </c>
      <c r="K657" s="201" t="s">
        <v>3931</v>
      </c>
      <c r="L657" s="199" t="s">
        <v>38</v>
      </c>
      <c r="M657" s="199" t="s">
        <v>3320</v>
      </c>
    </row>
    <row r="658" spans="1:13" ht="370.5">
      <c r="A658" s="199">
        <v>657</v>
      </c>
      <c r="B658" s="199" t="s">
        <v>4000</v>
      </c>
      <c r="C658" s="199" t="s">
        <v>25</v>
      </c>
      <c r="D658" s="199" t="s">
        <v>17</v>
      </c>
      <c r="E658" s="199">
        <v>3</v>
      </c>
      <c r="F658" s="199" t="s">
        <v>25</v>
      </c>
      <c r="G658" s="199" t="s">
        <v>3930</v>
      </c>
      <c r="H658" s="200">
        <v>300</v>
      </c>
      <c r="I658" s="199" t="s">
        <v>38</v>
      </c>
      <c r="J658" s="199" t="s">
        <v>492</v>
      </c>
      <c r="K658" s="201" t="s">
        <v>3931</v>
      </c>
      <c r="L658" s="199" t="s">
        <v>38</v>
      </c>
      <c r="M658" s="199" t="s">
        <v>3320</v>
      </c>
    </row>
    <row r="659" spans="1:13" ht="356.25">
      <c r="A659" s="199">
        <v>658</v>
      </c>
      <c r="B659" s="199" t="s">
        <v>4001</v>
      </c>
      <c r="C659" s="199" t="s">
        <v>25</v>
      </c>
      <c r="D659" s="199" t="s">
        <v>17</v>
      </c>
      <c r="E659" s="199">
        <v>10</v>
      </c>
      <c r="F659" s="199" t="s">
        <v>25</v>
      </c>
      <c r="G659" s="199" t="s">
        <v>3930</v>
      </c>
      <c r="H659" s="200">
        <v>1500</v>
      </c>
      <c r="I659" s="199" t="s">
        <v>38</v>
      </c>
      <c r="J659" s="199" t="s">
        <v>492</v>
      </c>
      <c r="K659" s="201" t="s">
        <v>3931</v>
      </c>
      <c r="L659" s="199" t="s">
        <v>38</v>
      </c>
      <c r="M659" s="199" t="s">
        <v>3320</v>
      </c>
    </row>
    <row r="660" spans="1:13" ht="156.75">
      <c r="A660" s="199">
        <v>659</v>
      </c>
      <c r="B660" s="199" t="s">
        <v>4002</v>
      </c>
      <c r="C660" s="199" t="s">
        <v>25</v>
      </c>
      <c r="D660" s="199" t="s">
        <v>35</v>
      </c>
      <c r="E660" s="199">
        <v>12</v>
      </c>
      <c r="F660" s="199" t="s">
        <v>3801</v>
      </c>
      <c r="G660" s="199" t="s">
        <v>4003</v>
      </c>
      <c r="H660" s="200">
        <v>28050.48</v>
      </c>
      <c r="I660" s="199" t="s">
        <v>20</v>
      </c>
      <c r="J660" s="199" t="s">
        <v>415</v>
      </c>
      <c r="K660" s="201">
        <v>45444</v>
      </c>
      <c r="L660" s="199" t="s">
        <v>4004</v>
      </c>
      <c r="M660" s="199" t="s">
        <v>3320</v>
      </c>
    </row>
    <row r="661" spans="1:13" ht="85.5">
      <c r="A661" s="199">
        <v>660</v>
      </c>
      <c r="B661" s="199" t="s">
        <v>4005</v>
      </c>
      <c r="C661" s="199" t="s">
        <v>34</v>
      </c>
      <c r="D661" s="199" t="s">
        <v>35</v>
      </c>
      <c r="E661" s="199">
        <v>3000</v>
      </c>
      <c r="F661" s="199" t="s">
        <v>4006</v>
      </c>
      <c r="G661" s="199" t="s">
        <v>4007</v>
      </c>
      <c r="H661" s="200">
        <v>8190</v>
      </c>
      <c r="I661" s="199" t="s">
        <v>20</v>
      </c>
      <c r="J661" s="199" t="s">
        <v>415</v>
      </c>
      <c r="K661" s="201">
        <v>45639</v>
      </c>
      <c r="L661" s="199" t="s">
        <v>3319</v>
      </c>
      <c r="M661" s="199" t="s">
        <v>3320</v>
      </c>
    </row>
    <row r="662" spans="1:13" ht="85.5">
      <c r="A662" s="199">
        <v>661</v>
      </c>
      <c r="B662" s="199" t="s">
        <v>4008</v>
      </c>
      <c r="C662" s="199" t="s">
        <v>34</v>
      </c>
      <c r="D662" s="199" t="s">
        <v>35</v>
      </c>
      <c r="E662" s="199">
        <v>25000</v>
      </c>
      <c r="F662" s="199" t="s">
        <v>4009</v>
      </c>
      <c r="G662" s="199" t="s">
        <v>4007</v>
      </c>
      <c r="H662" s="200">
        <v>2250</v>
      </c>
      <c r="I662" s="199" t="s">
        <v>20</v>
      </c>
      <c r="J662" s="199" t="s">
        <v>415</v>
      </c>
      <c r="K662" s="201">
        <v>45639</v>
      </c>
      <c r="L662" s="199" t="s">
        <v>3319</v>
      </c>
      <c r="M662" s="199" t="s">
        <v>3320</v>
      </c>
    </row>
    <row r="663" spans="1:13" ht="85.5">
      <c r="A663" s="199">
        <v>662</v>
      </c>
      <c r="B663" s="199" t="s">
        <v>4010</v>
      </c>
      <c r="C663" s="199" t="s">
        <v>34</v>
      </c>
      <c r="D663" s="199" t="s">
        <v>35</v>
      </c>
      <c r="E663" s="199">
        <v>3000</v>
      </c>
      <c r="F663" s="199" t="s">
        <v>4006</v>
      </c>
      <c r="G663" s="199" t="s">
        <v>4007</v>
      </c>
      <c r="H663" s="200">
        <v>7200</v>
      </c>
      <c r="I663" s="199" t="s">
        <v>20</v>
      </c>
      <c r="J663" s="199" t="s">
        <v>415</v>
      </c>
      <c r="K663" s="201">
        <v>45639</v>
      </c>
      <c r="L663" s="199" t="s">
        <v>3319</v>
      </c>
      <c r="M663" s="199" t="s">
        <v>3320</v>
      </c>
    </row>
    <row r="664" spans="1:13" ht="114">
      <c r="A664" s="199">
        <v>663</v>
      </c>
      <c r="B664" s="199" t="s">
        <v>4011</v>
      </c>
      <c r="C664" s="199" t="s">
        <v>34</v>
      </c>
      <c r="D664" s="199" t="s">
        <v>35</v>
      </c>
      <c r="E664" s="199">
        <v>350000</v>
      </c>
      <c r="F664" s="199" t="s">
        <v>4006</v>
      </c>
      <c r="G664" s="199" t="s">
        <v>4007</v>
      </c>
      <c r="H664" s="200">
        <v>24500</v>
      </c>
      <c r="I664" s="199" t="s">
        <v>20</v>
      </c>
      <c r="J664" s="199" t="s">
        <v>415</v>
      </c>
      <c r="K664" s="201">
        <v>45639</v>
      </c>
      <c r="L664" s="199" t="s">
        <v>3319</v>
      </c>
      <c r="M664" s="199" t="s">
        <v>3320</v>
      </c>
    </row>
    <row r="665" spans="1:13" ht="85.5">
      <c r="A665" s="199">
        <v>664</v>
      </c>
      <c r="B665" s="199" t="s">
        <v>4012</v>
      </c>
      <c r="C665" s="199" t="s">
        <v>34</v>
      </c>
      <c r="D665" s="199" t="s">
        <v>35</v>
      </c>
      <c r="E665" s="199">
        <v>3000</v>
      </c>
      <c r="F665" s="199" t="s">
        <v>4006</v>
      </c>
      <c r="G665" s="199" t="s">
        <v>4007</v>
      </c>
      <c r="H665" s="200">
        <v>4740</v>
      </c>
      <c r="I665" s="199" t="s">
        <v>20</v>
      </c>
      <c r="J665" s="199" t="s">
        <v>415</v>
      </c>
      <c r="K665" s="201">
        <v>45639</v>
      </c>
      <c r="L665" s="199" t="s">
        <v>3319</v>
      </c>
      <c r="M665" s="199" t="s">
        <v>3320</v>
      </c>
    </row>
    <row r="666" spans="1:13" ht="85.5">
      <c r="A666" s="199">
        <v>665</v>
      </c>
      <c r="B666" s="199" t="s">
        <v>4013</v>
      </c>
      <c r="C666" s="199" t="s">
        <v>34</v>
      </c>
      <c r="D666" s="199" t="s">
        <v>35</v>
      </c>
      <c r="E666" s="199">
        <v>8000</v>
      </c>
      <c r="F666" s="199" t="s">
        <v>4006</v>
      </c>
      <c r="G666" s="199" t="s">
        <v>4007</v>
      </c>
      <c r="H666" s="200">
        <v>1200</v>
      </c>
      <c r="I666" s="199" t="s">
        <v>20</v>
      </c>
      <c r="J666" s="199" t="s">
        <v>415</v>
      </c>
      <c r="K666" s="201">
        <v>45639</v>
      </c>
      <c r="L666" s="199" t="s">
        <v>3319</v>
      </c>
      <c r="M666" s="199" t="s">
        <v>3320</v>
      </c>
    </row>
    <row r="667" spans="1:13" ht="85.5">
      <c r="A667" s="199">
        <v>666</v>
      </c>
      <c r="B667" s="199" t="s">
        <v>4014</v>
      </c>
      <c r="C667" s="199" t="s">
        <v>34</v>
      </c>
      <c r="D667" s="199" t="s">
        <v>35</v>
      </c>
      <c r="E667" s="199">
        <v>4000</v>
      </c>
      <c r="F667" s="199" t="s">
        <v>4006</v>
      </c>
      <c r="G667" s="199" t="s">
        <v>4007</v>
      </c>
      <c r="H667" s="200">
        <v>520</v>
      </c>
      <c r="I667" s="199" t="s">
        <v>20</v>
      </c>
      <c r="J667" s="199" t="s">
        <v>415</v>
      </c>
      <c r="K667" s="201">
        <v>45639</v>
      </c>
      <c r="L667" s="199" t="s">
        <v>3319</v>
      </c>
      <c r="M667" s="199" t="s">
        <v>3320</v>
      </c>
    </row>
    <row r="668" spans="1:13" ht="85.5">
      <c r="A668" s="199">
        <v>667</v>
      </c>
      <c r="B668" s="199" t="s">
        <v>4015</v>
      </c>
      <c r="C668" s="199" t="s">
        <v>34</v>
      </c>
      <c r="D668" s="199" t="s">
        <v>35</v>
      </c>
      <c r="E668" s="199">
        <v>4000</v>
      </c>
      <c r="F668" s="199" t="s">
        <v>4006</v>
      </c>
      <c r="G668" s="199" t="s">
        <v>4007</v>
      </c>
      <c r="H668" s="200">
        <v>1720</v>
      </c>
      <c r="I668" s="199" t="s">
        <v>20</v>
      </c>
      <c r="J668" s="199" t="s">
        <v>415</v>
      </c>
      <c r="K668" s="201">
        <v>45639</v>
      </c>
      <c r="L668" s="199" t="s">
        <v>3319</v>
      </c>
      <c r="M668" s="199" t="s">
        <v>3320</v>
      </c>
    </row>
    <row r="669" spans="1:13" ht="85.5">
      <c r="A669" s="199">
        <v>668</v>
      </c>
      <c r="B669" s="199" t="s">
        <v>4016</v>
      </c>
      <c r="C669" s="199" t="s">
        <v>34</v>
      </c>
      <c r="D669" s="199" t="s">
        <v>35</v>
      </c>
      <c r="E669" s="199">
        <v>4000</v>
      </c>
      <c r="F669" s="199" t="s">
        <v>4006</v>
      </c>
      <c r="G669" s="199" t="s">
        <v>4007</v>
      </c>
      <c r="H669" s="200">
        <v>840</v>
      </c>
      <c r="I669" s="199" t="s">
        <v>20</v>
      </c>
      <c r="J669" s="199" t="s">
        <v>415</v>
      </c>
      <c r="K669" s="201">
        <v>45639</v>
      </c>
      <c r="L669" s="199" t="s">
        <v>3319</v>
      </c>
      <c r="M669" s="199" t="s">
        <v>3320</v>
      </c>
    </row>
    <row r="670" spans="1:13" ht="85.5">
      <c r="A670" s="199">
        <v>669</v>
      </c>
      <c r="B670" s="199" t="s">
        <v>4017</v>
      </c>
      <c r="C670" s="199" t="s">
        <v>34</v>
      </c>
      <c r="D670" s="199" t="s">
        <v>35</v>
      </c>
      <c r="E670" s="199">
        <v>4000</v>
      </c>
      <c r="F670" s="199" t="s">
        <v>4006</v>
      </c>
      <c r="G670" s="199" t="s">
        <v>4007</v>
      </c>
      <c r="H670" s="200">
        <v>2360</v>
      </c>
      <c r="I670" s="199" t="s">
        <v>20</v>
      </c>
      <c r="J670" s="199" t="s">
        <v>415</v>
      </c>
      <c r="K670" s="201">
        <v>45639</v>
      </c>
      <c r="L670" s="199" t="s">
        <v>3319</v>
      </c>
      <c r="M670" s="199" t="s">
        <v>3320</v>
      </c>
    </row>
    <row r="671" spans="1:13" ht="85.5">
      <c r="A671" s="199">
        <v>670</v>
      </c>
      <c r="B671" s="199" t="s">
        <v>4018</v>
      </c>
      <c r="C671" s="199" t="s">
        <v>34</v>
      </c>
      <c r="D671" s="199" t="s">
        <v>35</v>
      </c>
      <c r="E671" s="199">
        <v>100000</v>
      </c>
      <c r="F671" s="199" t="s">
        <v>4006</v>
      </c>
      <c r="G671" s="199" t="s">
        <v>4007</v>
      </c>
      <c r="H671" s="200">
        <v>24000</v>
      </c>
      <c r="I671" s="199" t="s">
        <v>20</v>
      </c>
      <c r="J671" s="199" t="s">
        <v>415</v>
      </c>
      <c r="K671" s="201">
        <v>45639</v>
      </c>
      <c r="L671" s="199" t="s">
        <v>3319</v>
      </c>
      <c r="M671" s="199" t="s">
        <v>3320</v>
      </c>
    </row>
    <row r="672" spans="1:13" ht="85.5">
      <c r="A672" s="199">
        <v>671</v>
      </c>
      <c r="B672" s="199" t="s">
        <v>4019</v>
      </c>
      <c r="C672" s="199" t="s">
        <v>34</v>
      </c>
      <c r="D672" s="199" t="s">
        <v>35</v>
      </c>
      <c r="E672" s="199">
        <v>500</v>
      </c>
      <c r="F672" s="199" t="s">
        <v>4006</v>
      </c>
      <c r="G672" s="199" t="s">
        <v>4007</v>
      </c>
      <c r="H672" s="200">
        <v>5385</v>
      </c>
      <c r="I672" s="199" t="s">
        <v>20</v>
      </c>
      <c r="J672" s="199" t="s">
        <v>415</v>
      </c>
      <c r="K672" s="201">
        <v>45639</v>
      </c>
      <c r="L672" s="199" t="s">
        <v>3319</v>
      </c>
      <c r="M672" s="199" t="s">
        <v>3320</v>
      </c>
    </row>
    <row r="673" spans="1:13" ht="85.5">
      <c r="A673" s="199">
        <v>672</v>
      </c>
      <c r="B673" s="199" t="s">
        <v>4020</v>
      </c>
      <c r="C673" s="199" t="s">
        <v>34</v>
      </c>
      <c r="D673" s="199" t="s">
        <v>35</v>
      </c>
      <c r="E673" s="199">
        <v>5000</v>
      </c>
      <c r="F673" s="199" t="s">
        <v>4006</v>
      </c>
      <c r="G673" s="199" t="s">
        <v>4007</v>
      </c>
      <c r="H673" s="200">
        <v>700</v>
      </c>
      <c r="I673" s="199" t="s">
        <v>20</v>
      </c>
      <c r="J673" s="199" t="s">
        <v>415</v>
      </c>
      <c r="K673" s="201">
        <v>45639</v>
      </c>
      <c r="L673" s="199" t="s">
        <v>3319</v>
      </c>
      <c r="M673" s="199" t="s">
        <v>3320</v>
      </c>
    </row>
    <row r="674" spans="1:13" ht="114">
      <c r="A674" s="199">
        <v>673</v>
      </c>
      <c r="B674" s="199" t="s">
        <v>4021</v>
      </c>
      <c r="C674" s="199" t="s">
        <v>34</v>
      </c>
      <c r="D674" s="199" t="s">
        <v>35</v>
      </c>
      <c r="E674" s="199">
        <v>4000</v>
      </c>
      <c r="F674" s="199" t="s">
        <v>4006</v>
      </c>
      <c r="G674" s="199" t="s">
        <v>4007</v>
      </c>
      <c r="H674" s="200">
        <v>1080</v>
      </c>
      <c r="I674" s="199" t="s">
        <v>20</v>
      </c>
      <c r="J674" s="199" t="s">
        <v>415</v>
      </c>
      <c r="K674" s="201">
        <v>45639</v>
      </c>
      <c r="L674" s="199" t="s">
        <v>3319</v>
      </c>
      <c r="M674" s="199" t="s">
        <v>3320</v>
      </c>
    </row>
    <row r="675" spans="1:13" ht="85.5">
      <c r="A675" s="199">
        <v>674</v>
      </c>
      <c r="B675" s="199" t="s">
        <v>4022</v>
      </c>
      <c r="C675" s="199" t="s">
        <v>34</v>
      </c>
      <c r="D675" s="199" t="s">
        <v>35</v>
      </c>
      <c r="E675" s="199">
        <v>15000</v>
      </c>
      <c r="F675" s="199" t="s">
        <v>4006</v>
      </c>
      <c r="G675" s="199" t="s">
        <v>4007</v>
      </c>
      <c r="H675" s="200">
        <v>4050</v>
      </c>
      <c r="I675" s="199" t="s">
        <v>20</v>
      </c>
      <c r="J675" s="199" t="s">
        <v>415</v>
      </c>
      <c r="K675" s="201">
        <v>45639</v>
      </c>
      <c r="L675" s="199" t="s">
        <v>3319</v>
      </c>
      <c r="M675" s="199" t="s">
        <v>3320</v>
      </c>
    </row>
    <row r="676" spans="1:13" ht="85.5">
      <c r="A676" s="199">
        <v>675</v>
      </c>
      <c r="B676" s="199" t="s">
        <v>4023</v>
      </c>
      <c r="C676" s="199" t="s">
        <v>34</v>
      </c>
      <c r="D676" s="199" t="s">
        <v>35</v>
      </c>
      <c r="E676" s="199">
        <v>5000</v>
      </c>
      <c r="F676" s="199" t="s">
        <v>4006</v>
      </c>
      <c r="G676" s="199" t="s">
        <v>4007</v>
      </c>
      <c r="H676" s="200">
        <v>15400</v>
      </c>
      <c r="I676" s="199" t="s">
        <v>20</v>
      </c>
      <c r="J676" s="199" t="s">
        <v>415</v>
      </c>
      <c r="K676" s="201">
        <v>45639</v>
      </c>
      <c r="L676" s="199" t="s">
        <v>3319</v>
      </c>
      <c r="M676" s="199" t="s">
        <v>3320</v>
      </c>
    </row>
    <row r="677" spans="1:13" ht="85.5">
      <c r="A677" s="199">
        <v>676</v>
      </c>
      <c r="B677" s="199" t="s">
        <v>4024</v>
      </c>
      <c r="C677" s="199" t="s">
        <v>34</v>
      </c>
      <c r="D677" s="199" t="s">
        <v>35</v>
      </c>
      <c r="E677" s="199">
        <v>5000</v>
      </c>
      <c r="F677" s="199" t="s">
        <v>4006</v>
      </c>
      <c r="G677" s="199" t="s">
        <v>4007</v>
      </c>
      <c r="H677" s="200">
        <v>2750</v>
      </c>
      <c r="I677" s="199" t="s">
        <v>20</v>
      </c>
      <c r="J677" s="199" t="s">
        <v>415</v>
      </c>
      <c r="K677" s="201">
        <v>45639</v>
      </c>
      <c r="L677" s="199" t="s">
        <v>3319</v>
      </c>
      <c r="M677" s="199" t="s">
        <v>3320</v>
      </c>
    </row>
    <row r="678" spans="1:13" ht="85.5">
      <c r="A678" s="199">
        <v>677</v>
      </c>
      <c r="B678" s="199" t="s">
        <v>4025</v>
      </c>
      <c r="C678" s="199" t="s">
        <v>34</v>
      </c>
      <c r="D678" s="199" t="s">
        <v>35</v>
      </c>
      <c r="E678" s="199">
        <v>48</v>
      </c>
      <c r="F678" s="199" t="s">
        <v>2378</v>
      </c>
      <c r="G678" s="199" t="s">
        <v>4007</v>
      </c>
      <c r="H678" s="200">
        <v>940.8</v>
      </c>
      <c r="I678" s="199" t="s">
        <v>20</v>
      </c>
      <c r="J678" s="199" t="s">
        <v>415</v>
      </c>
      <c r="K678" s="201">
        <v>45639</v>
      </c>
      <c r="L678" s="199" t="s">
        <v>3319</v>
      </c>
      <c r="M678" s="199" t="s">
        <v>3320</v>
      </c>
    </row>
    <row r="679" spans="1:13" ht="85.5">
      <c r="A679" s="199">
        <v>678</v>
      </c>
      <c r="B679" s="199" t="s">
        <v>4026</v>
      </c>
      <c r="C679" s="199" t="s">
        <v>34</v>
      </c>
      <c r="D679" s="199" t="s">
        <v>35</v>
      </c>
      <c r="E679" s="199">
        <v>250</v>
      </c>
      <c r="F679" s="199" t="s">
        <v>4006</v>
      </c>
      <c r="G679" s="199" t="s">
        <v>4007</v>
      </c>
      <c r="H679" s="200">
        <v>11667.5</v>
      </c>
      <c r="I679" s="199" t="s">
        <v>20</v>
      </c>
      <c r="J679" s="199" t="s">
        <v>415</v>
      </c>
      <c r="K679" s="201">
        <v>45639</v>
      </c>
      <c r="L679" s="199" t="s">
        <v>3319</v>
      </c>
      <c r="M679" s="199" t="s">
        <v>3320</v>
      </c>
    </row>
    <row r="680" spans="1:13" ht="85.5">
      <c r="A680" s="199">
        <v>679</v>
      </c>
      <c r="B680" s="199" t="s">
        <v>4027</v>
      </c>
      <c r="C680" s="199" t="s">
        <v>34</v>
      </c>
      <c r="D680" s="199" t="s">
        <v>35</v>
      </c>
      <c r="E680" s="199">
        <v>1000</v>
      </c>
      <c r="F680" s="199" t="s">
        <v>4006</v>
      </c>
      <c r="G680" s="199" t="s">
        <v>4007</v>
      </c>
      <c r="H680" s="200">
        <v>780</v>
      </c>
      <c r="I680" s="199" t="s">
        <v>20</v>
      </c>
      <c r="J680" s="199" t="s">
        <v>415</v>
      </c>
      <c r="K680" s="201">
        <v>45639</v>
      </c>
      <c r="L680" s="199" t="s">
        <v>3319</v>
      </c>
      <c r="M680" s="199" t="s">
        <v>3320</v>
      </c>
    </row>
    <row r="681" spans="1:13" ht="85.5">
      <c r="A681" s="199">
        <v>680</v>
      </c>
      <c r="B681" s="199" t="s">
        <v>4028</v>
      </c>
      <c r="C681" s="199" t="s">
        <v>34</v>
      </c>
      <c r="D681" s="199" t="s">
        <v>35</v>
      </c>
      <c r="E681" s="199">
        <v>1000</v>
      </c>
      <c r="F681" s="199" t="s">
        <v>4006</v>
      </c>
      <c r="G681" s="199" t="s">
        <v>4007</v>
      </c>
      <c r="H681" s="200">
        <v>1250</v>
      </c>
      <c r="I681" s="199" t="s">
        <v>20</v>
      </c>
      <c r="J681" s="199" t="s">
        <v>415</v>
      </c>
      <c r="K681" s="201">
        <v>45639</v>
      </c>
      <c r="L681" s="199" t="s">
        <v>3319</v>
      </c>
      <c r="M681" s="199" t="s">
        <v>3320</v>
      </c>
    </row>
    <row r="682" spans="1:13" ht="85.5">
      <c r="A682" s="199">
        <v>681</v>
      </c>
      <c r="B682" s="199" t="s">
        <v>4029</v>
      </c>
      <c r="C682" s="199" t="s">
        <v>34</v>
      </c>
      <c r="D682" s="199" t="s">
        <v>35</v>
      </c>
      <c r="E682" s="199">
        <v>1000</v>
      </c>
      <c r="F682" s="199" t="s">
        <v>4006</v>
      </c>
      <c r="G682" s="199" t="s">
        <v>4007</v>
      </c>
      <c r="H682" s="200">
        <v>240</v>
      </c>
      <c r="I682" s="199" t="s">
        <v>20</v>
      </c>
      <c r="J682" s="199" t="s">
        <v>415</v>
      </c>
      <c r="K682" s="201">
        <v>45639</v>
      </c>
      <c r="L682" s="199" t="s">
        <v>3319</v>
      </c>
      <c r="M682" s="199" t="s">
        <v>3320</v>
      </c>
    </row>
    <row r="683" spans="1:13" ht="85.5">
      <c r="A683" s="199">
        <v>682</v>
      </c>
      <c r="B683" s="199" t="s">
        <v>4030</v>
      </c>
      <c r="C683" s="199" t="s">
        <v>34</v>
      </c>
      <c r="D683" s="199" t="s">
        <v>35</v>
      </c>
      <c r="E683" s="199">
        <v>1000</v>
      </c>
      <c r="F683" s="199" t="s">
        <v>4006</v>
      </c>
      <c r="G683" s="199" t="s">
        <v>4007</v>
      </c>
      <c r="H683" s="200">
        <v>7300</v>
      </c>
      <c r="I683" s="199" t="s">
        <v>20</v>
      </c>
      <c r="J683" s="199" t="s">
        <v>415</v>
      </c>
      <c r="K683" s="201">
        <v>45639</v>
      </c>
      <c r="L683" s="199" t="s">
        <v>3319</v>
      </c>
      <c r="M683" s="199" t="s">
        <v>3320</v>
      </c>
    </row>
    <row r="684" spans="1:13" ht="85.5">
      <c r="A684" s="199">
        <v>683</v>
      </c>
      <c r="B684" s="199" t="s">
        <v>4031</v>
      </c>
      <c r="C684" s="199" t="s">
        <v>34</v>
      </c>
      <c r="D684" s="199" t="s">
        <v>35</v>
      </c>
      <c r="E684" s="199">
        <v>24</v>
      </c>
      <c r="F684" s="199" t="s">
        <v>2378</v>
      </c>
      <c r="G684" s="199" t="s">
        <v>4007</v>
      </c>
      <c r="H684" s="200">
        <v>473.52</v>
      </c>
      <c r="I684" s="199" t="s">
        <v>20</v>
      </c>
      <c r="J684" s="199" t="s">
        <v>415</v>
      </c>
      <c r="K684" s="201">
        <v>45639</v>
      </c>
      <c r="L684" s="199" t="s">
        <v>3319</v>
      </c>
      <c r="M684" s="199" t="s">
        <v>3320</v>
      </c>
    </row>
    <row r="685" spans="1:13" ht="85.5">
      <c r="A685" s="199">
        <v>684</v>
      </c>
      <c r="B685" s="199" t="s">
        <v>4032</v>
      </c>
      <c r="C685" s="199" t="s">
        <v>34</v>
      </c>
      <c r="D685" s="199" t="s">
        <v>35</v>
      </c>
      <c r="E685" s="199">
        <v>15000</v>
      </c>
      <c r="F685" s="199" t="s">
        <v>4006</v>
      </c>
      <c r="G685" s="199" t="s">
        <v>4007</v>
      </c>
      <c r="H685" s="200">
        <v>2550</v>
      </c>
      <c r="I685" s="199" t="s">
        <v>20</v>
      </c>
      <c r="J685" s="199" t="s">
        <v>415</v>
      </c>
      <c r="K685" s="201">
        <v>45639</v>
      </c>
      <c r="L685" s="199" t="s">
        <v>3319</v>
      </c>
      <c r="M685" s="199" t="s">
        <v>3320</v>
      </c>
    </row>
    <row r="686" spans="1:13" ht="85.5">
      <c r="A686" s="199">
        <v>685</v>
      </c>
      <c r="B686" s="199" t="s">
        <v>4033</v>
      </c>
      <c r="C686" s="199" t="s">
        <v>34</v>
      </c>
      <c r="D686" s="199" t="s">
        <v>35</v>
      </c>
      <c r="E686" s="199">
        <v>16000</v>
      </c>
      <c r="F686" s="199" t="s">
        <v>4006</v>
      </c>
      <c r="G686" s="199" t="s">
        <v>4007</v>
      </c>
      <c r="H686" s="200">
        <v>12320</v>
      </c>
      <c r="I686" s="199" t="s">
        <v>20</v>
      </c>
      <c r="J686" s="199" t="s">
        <v>415</v>
      </c>
      <c r="K686" s="201">
        <v>45639</v>
      </c>
      <c r="L686" s="199" t="s">
        <v>3319</v>
      </c>
      <c r="M686" s="199" t="s">
        <v>3320</v>
      </c>
    </row>
    <row r="687" spans="1:13" ht="85.5">
      <c r="A687" s="199">
        <v>686</v>
      </c>
      <c r="B687" s="199" t="s">
        <v>4034</v>
      </c>
      <c r="C687" s="199" t="s">
        <v>34</v>
      </c>
      <c r="D687" s="199" t="s">
        <v>35</v>
      </c>
      <c r="E687" s="199">
        <v>15000</v>
      </c>
      <c r="F687" s="199" t="s">
        <v>4006</v>
      </c>
      <c r="G687" s="199" t="s">
        <v>4007</v>
      </c>
      <c r="H687" s="200">
        <v>4950</v>
      </c>
      <c r="I687" s="199" t="s">
        <v>20</v>
      </c>
      <c r="J687" s="199" t="s">
        <v>415</v>
      </c>
      <c r="K687" s="201">
        <v>45639</v>
      </c>
      <c r="L687" s="199" t="s">
        <v>3319</v>
      </c>
      <c r="M687" s="199" t="s">
        <v>3320</v>
      </c>
    </row>
    <row r="688" spans="1:13" ht="85.5">
      <c r="A688" s="199">
        <v>687</v>
      </c>
      <c r="B688" s="199" t="s">
        <v>4035</v>
      </c>
      <c r="C688" s="199" t="s">
        <v>34</v>
      </c>
      <c r="D688" s="199" t="s">
        <v>35</v>
      </c>
      <c r="E688" s="199">
        <v>15000</v>
      </c>
      <c r="F688" s="199" t="s">
        <v>4006</v>
      </c>
      <c r="G688" s="199" t="s">
        <v>4007</v>
      </c>
      <c r="H688" s="200">
        <v>9600</v>
      </c>
      <c r="I688" s="199" t="s">
        <v>20</v>
      </c>
      <c r="J688" s="199" t="s">
        <v>415</v>
      </c>
      <c r="K688" s="201">
        <v>45639</v>
      </c>
      <c r="L688" s="199" t="s">
        <v>3319</v>
      </c>
      <c r="M688" s="199" t="s">
        <v>3320</v>
      </c>
    </row>
    <row r="689" spans="1:13" ht="85.5">
      <c r="A689" s="199">
        <v>688</v>
      </c>
      <c r="B689" s="199" t="s">
        <v>4036</v>
      </c>
      <c r="C689" s="199" t="s">
        <v>34</v>
      </c>
      <c r="D689" s="199" t="s">
        <v>35</v>
      </c>
      <c r="E689" s="199">
        <v>300000</v>
      </c>
      <c r="F689" s="199" t="s">
        <v>4006</v>
      </c>
      <c r="G689" s="199" t="s">
        <v>4007</v>
      </c>
      <c r="H689" s="200">
        <v>3000</v>
      </c>
      <c r="I689" s="199" t="s">
        <v>20</v>
      </c>
      <c r="J689" s="199" t="s">
        <v>415</v>
      </c>
      <c r="K689" s="201">
        <v>45639</v>
      </c>
      <c r="L689" s="199" t="s">
        <v>3319</v>
      </c>
      <c r="M689" s="199" t="s">
        <v>3320</v>
      </c>
    </row>
    <row r="690" spans="1:13" ht="85.5">
      <c r="A690" s="199">
        <v>689</v>
      </c>
      <c r="B690" s="199" t="s">
        <v>4037</v>
      </c>
      <c r="C690" s="199" t="s">
        <v>34</v>
      </c>
      <c r="D690" s="199" t="s">
        <v>35</v>
      </c>
      <c r="E690" s="199">
        <v>6000</v>
      </c>
      <c r="F690" s="199" t="s">
        <v>4006</v>
      </c>
      <c r="G690" s="199" t="s">
        <v>4007</v>
      </c>
      <c r="H690" s="200">
        <v>1620</v>
      </c>
      <c r="I690" s="199" t="s">
        <v>20</v>
      </c>
      <c r="J690" s="199" t="s">
        <v>415</v>
      </c>
      <c r="K690" s="201">
        <v>45639</v>
      </c>
      <c r="L690" s="199" t="s">
        <v>3319</v>
      </c>
      <c r="M690" s="199" t="s">
        <v>3320</v>
      </c>
    </row>
    <row r="691" spans="1:13" ht="85.5">
      <c r="A691" s="199">
        <v>690</v>
      </c>
      <c r="B691" s="199" t="s">
        <v>4038</v>
      </c>
      <c r="C691" s="199" t="s">
        <v>34</v>
      </c>
      <c r="D691" s="199" t="s">
        <v>35</v>
      </c>
      <c r="E691" s="199">
        <v>6000</v>
      </c>
      <c r="F691" s="199" t="s">
        <v>4006</v>
      </c>
      <c r="G691" s="199" t="s">
        <v>4007</v>
      </c>
      <c r="H691" s="200">
        <v>1980</v>
      </c>
      <c r="I691" s="199" t="s">
        <v>20</v>
      </c>
      <c r="J691" s="199" t="s">
        <v>415</v>
      </c>
      <c r="K691" s="201">
        <v>45639</v>
      </c>
      <c r="L691" s="199" t="s">
        <v>3319</v>
      </c>
      <c r="M691" s="199" t="s">
        <v>3320</v>
      </c>
    </row>
    <row r="692" spans="1:13" ht="85.5">
      <c r="A692" s="199">
        <v>691</v>
      </c>
      <c r="B692" s="199" t="s">
        <v>4039</v>
      </c>
      <c r="C692" s="199" t="s">
        <v>34</v>
      </c>
      <c r="D692" s="199" t="s">
        <v>35</v>
      </c>
      <c r="E692" s="199">
        <v>200000</v>
      </c>
      <c r="F692" s="199" t="s">
        <v>4009</v>
      </c>
      <c r="G692" s="199" t="s">
        <v>4007</v>
      </c>
      <c r="H692" s="200">
        <v>6000</v>
      </c>
      <c r="I692" s="199" t="s">
        <v>20</v>
      </c>
      <c r="J692" s="199" t="s">
        <v>415</v>
      </c>
      <c r="K692" s="201">
        <v>45639</v>
      </c>
      <c r="L692" s="199" t="s">
        <v>3319</v>
      </c>
      <c r="M692" s="199" t="s">
        <v>3320</v>
      </c>
    </row>
    <row r="693" spans="1:13" ht="85.5">
      <c r="A693" s="199">
        <v>692</v>
      </c>
      <c r="B693" s="199" t="s">
        <v>4040</v>
      </c>
      <c r="C693" s="199" t="s">
        <v>34</v>
      </c>
      <c r="D693" s="199" t="s">
        <v>35</v>
      </c>
      <c r="E693" s="199">
        <v>300</v>
      </c>
      <c r="F693" s="199" t="s">
        <v>4006</v>
      </c>
      <c r="G693" s="199" t="s">
        <v>4007</v>
      </c>
      <c r="H693" s="200">
        <v>3450</v>
      </c>
      <c r="I693" s="199" t="s">
        <v>20</v>
      </c>
      <c r="J693" s="199" t="s">
        <v>415</v>
      </c>
      <c r="K693" s="201">
        <v>45639</v>
      </c>
      <c r="L693" s="199" t="s">
        <v>3319</v>
      </c>
      <c r="M693" s="199" t="s">
        <v>3320</v>
      </c>
    </row>
    <row r="694" spans="1:13" ht="85.5">
      <c r="A694" s="199">
        <v>693</v>
      </c>
      <c r="B694" s="199" t="s">
        <v>4041</v>
      </c>
      <c r="C694" s="199" t="s">
        <v>34</v>
      </c>
      <c r="D694" s="199" t="s">
        <v>35</v>
      </c>
      <c r="E694" s="199">
        <v>12000</v>
      </c>
      <c r="F694" s="199" t="s">
        <v>4006</v>
      </c>
      <c r="G694" s="199" t="s">
        <v>4007</v>
      </c>
      <c r="H694" s="200">
        <v>11280</v>
      </c>
      <c r="I694" s="199" t="s">
        <v>20</v>
      </c>
      <c r="J694" s="199" t="s">
        <v>415</v>
      </c>
      <c r="K694" s="201">
        <v>45639</v>
      </c>
      <c r="L694" s="199" t="s">
        <v>3319</v>
      </c>
      <c r="M694" s="199" t="s">
        <v>3320</v>
      </c>
    </row>
    <row r="695" spans="1:13" ht="85.5">
      <c r="A695" s="199">
        <v>694</v>
      </c>
      <c r="B695" s="199" t="s">
        <v>4042</v>
      </c>
      <c r="C695" s="199" t="s">
        <v>34</v>
      </c>
      <c r="D695" s="199" t="s">
        <v>35</v>
      </c>
      <c r="E695" s="199">
        <v>5000</v>
      </c>
      <c r="F695" s="199" t="s">
        <v>4006</v>
      </c>
      <c r="G695" s="199" t="s">
        <v>4007</v>
      </c>
      <c r="H695" s="200">
        <v>15050</v>
      </c>
      <c r="I695" s="199" t="s">
        <v>20</v>
      </c>
      <c r="J695" s="199" t="s">
        <v>415</v>
      </c>
      <c r="K695" s="201">
        <v>45639</v>
      </c>
      <c r="L695" s="199" t="s">
        <v>3319</v>
      </c>
      <c r="M695" s="199" t="s">
        <v>3320</v>
      </c>
    </row>
    <row r="696" spans="1:13" ht="85.5">
      <c r="A696" s="199">
        <v>695</v>
      </c>
      <c r="B696" s="199" t="s">
        <v>4043</v>
      </c>
      <c r="C696" s="199" t="s">
        <v>34</v>
      </c>
      <c r="D696" s="199" t="s">
        <v>35</v>
      </c>
      <c r="E696" s="199">
        <v>3000</v>
      </c>
      <c r="F696" s="199" t="s">
        <v>4006</v>
      </c>
      <c r="G696" s="199" t="s">
        <v>4007</v>
      </c>
      <c r="H696" s="200">
        <v>540</v>
      </c>
      <c r="I696" s="199" t="s">
        <v>20</v>
      </c>
      <c r="J696" s="199" t="s">
        <v>415</v>
      </c>
      <c r="K696" s="201">
        <v>45639</v>
      </c>
      <c r="L696" s="199" t="s">
        <v>3319</v>
      </c>
      <c r="M696" s="199" t="s">
        <v>3320</v>
      </c>
    </row>
    <row r="697" spans="1:13" ht="85.5">
      <c r="A697" s="199">
        <v>696</v>
      </c>
      <c r="B697" s="199" t="s">
        <v>4044</v>
      </c>
      <c r="C697" s="199" t="s">
        <v>34</v>
      </c>
      <c r="D697" s="199" t="s">
        <v>35</v>
      </c>
      <c r="E697" s="199">
        <v>3000</v>
      </c>
      <c r="F697" s="199" t="s">
        <v>4006</v>
      </c>
      <c r="G697" s="199" t="s">
        <v>4007</v>
      </c>
      <c r="H697" s="200">
        <v>360</v>
      </c>
      <c r="I697" s="199" t="s">
        <v>20</v>
      </c>
      <c r="J697" s="199" t="s">
        <v>415</v>
      </c>
      <c r="K697" s="201">
        <v>45639</v>
      </c>
      <c r="L697" s="199" t="s">
        <v>3319</v>
      </c>
      <c r="M697" s="199" t="s">
        <v>3320</v>
      </c>
    </row>
    <row r="698" spans="1:13" ht="85.5">
      <c r="A698" s="199">
        <v>697</v>
      </c>
      <c r="B698" s="199" t="s">
        <v>4045</v>
      </c>
      <c r="C698" s="199" t="s">
        <v>34</v>
      </c>
      <c r="D698" s="199" t="s">
        <v>35</v>
      </c>
      <c r="E698" s="199">
        <v>1500</v>
      </c>
      <c r="F698" s="199" t="s">
        <v>4006</v>
      </c>
      <c r="G698" s="199" t="s">
        <v>4007</v>
      </c>
      <c r="H698" s="200">
        <v>2310</v>
      </c>
      <c r="I698" s="199" t="s">
        <v>20</v>
      </c>
      <c r="J698" s="199" t="s">
        <v>415</v>
      </c>
      <c r="K698" s="201">
        <v>45639</v>
      </c>
      <c r="L698" s="199" t="s">
        <v>3319</v>
      </c>
      <c r="M698" s="199" t="s">
        <v>3320</v>
      </c>
    </row>
    <row r="699" spans="1:13" ht="85.5">
      <c r="A699" s="199">
        <v>698</v>
      </c>
      <c r="B699" s="199" t="s">
        <v>4046</v>
      </c>
      <c r="C699" s="199" t="s">
        <v>34</v>
      </c>
      <c r="D699" s="199" t="s">
        <v>35</v>
      </c>
      <c r="E699" s="199">
        <v>3000</v>
      </c>
      <c r="F699" s="199" t="s">
        <v>4006</v>
      </c>
      <c r="G699" s="199" t="s">
        <v>4007</v>
      </c>
      <c r="H699" s="200">
        <v>780</v>
      </c>
      <c r="I699" s="199" t="s">
        <v>20</v>
      </c>
      <c r="J699" s="199" t="s">
        <v>415</v>
      </c>
      <c r="K699" s="201">
        <v>45639</v>
      </c>
      <c r="L699" s="199" t="s">
        <v>3319</v>
      </c>
      <c r="M699" s="199" t="s">
        <v>3320</v>
      </c>
    </row>
    <row r="700" spans="1:13" ht="85.5">
      <c r="A700" s="199">
        <v>699</v>
      </c>
      <c r="B700" s="199" t="s">
        <v>4047</v>
      </c>
      <c r="C700" s="199" t="s">
        <v>34</v>
      </c>
      <c r="D700" s="199" t="s">
        <v>35</v>
      </c>
      <c r="E700" s="199">
        <v>2000</v>
      </c>
      <c r="F700" s="199" t="s">
        <v>4006</v>
      </c>
      <c r="G700" s="199" t="s">
        <v>4007</v>
      </c>
      <c r="H700" s="200">
        <v>600</v>
      </c>
      <c r="I700" s="199" t="s">
        <v>20</v>
      </c>
      <c r="J700" s="199" t="s">
        <v>415</v>
      </c>
      <c r="K700" s="201">
        <v>45639</v>
      </c>
      <c r="L700" s="199" t="s">
        <v>3319</v>
      </c>
      <c r="M700" s="199" t="s">
        <v>3320</v>
      </c>
    </row>
    <row r="701" spans="1:13" ht="85.5">
      <c r="A701" s="199">
        <v>700</v>
      </c>
      <c r="B701" s="199" t="s">
        <v>4048</v>
      </c>
      <c r="C701" s="199" t="s">
        <v>34</v>
      </c>
      <c r="D701" s="199" t="s">
        <v>35</v>
      </c>
      <c r="E701" s="199">
        <v>15000</v>
      </c>
      <c r="F701" s="199" t="s">
        <v>4009</v>
      </c>
      <c r="G701" s="199" t="s">
        <v>4007</v>
      </c>
      <c r="H701" s="200">
        <v>1950</v>
      </c>
      <c r="I701" s="199" t="s">
        <v>20</v>
      </c>
      <c r="J701" s="199" t="s">
        <v>415</v>
      </c>
      <c r="K701" s="201">
        <v>45639</v>
      </c>
      <c r="L701" s="199" t="s">
        <v>3319</v>
      </c>
      <c r="M701" s="199" t="s">
        <v>3320</v>
      </c>
    </row>
    <row r="702" spans="1:13" ht="85.5">
      <c r="A702" s="199">
        <v>701</v>
      </c>
      <c r="B702" s="199" t="s">
        <v>4049</v>
      </c>
      <c r="C702" s="199" t="s">
        <v>34</v>
      </c>
      <c r="D702" s="199" t="s">
        <v>35</v>
      </c>
      <c r="E702" s="199">
        <v>240000</v>
      </c>
      <c r="F702" s="199" t="s">
        <v>4006</v>
      </c>
      <c r="G702" s="199" t="s">
        <v>4007</v>
      </c>
      <c r="H702" s="200">
        <v>36000</v>
      </c>
      <c r="I702" s="199" t="s">
        <v>20</v>
      </c>
      <c r="J702" s="199" t="s">
        <v>415</v>
      </c>
      <c r="K702" s="201">
        <v>45639</v>
      </c>
      <c r="L702" s="199" t="s">
        <v>3319</v>
      </c>
      <c r="M702" s="199" t="s">
        <v>3320</v>
      </c>
    </row>
    <row r="703" spans="1:13" ht="85.5">
      <c r="A703" s="199">
        <v>702</v>
      </c>
      <c r="B703" s="199" t="s">
        <v>4050</v>
      </c>
      <c r="C703" s="199" t="s">
        <v>34</v>
      </c>
      <c r="D703" s="199" t="s">
        <v>35</v>
      </c>
      <c r="E703" s="199">
        <v>240000</v>
      </c>
      <c r="F703" s="199" t="s">
        <v>4006</v>
      </c>
      <c r="G703" s="199" t="s">
        <v>4007</v>
      </c>
      <c r="H703" s="200">
        <v>33600</v>
      </c>
      <c r="I703" s="199" t="s">
        <v>20</v>
      </c>
      <c r="J703" s="199" t="s">
        <v>415</v>
      </c>
      <c r="K703" s="201">
        <v>45639</v>
      </c>
      <c r="L703" s="199" t="s">
        <v>3319</v>
      </c>
      <c r="M703" s="199" t="s">
        <v>3320</v>
      </c>
    </row>
    <row r="704" spans="1:13" ht="85.5">
      <c r="A704" s="199">
        <v>703</v>
      </c>
      <c r="B704" s="199" t="s">
        <v>4051</v>
      </c>
      <c r="C704" s="199" t="s">
        <v>34</v>
      </c>
      <c r="D704" s="199" t="s">
        <v>35</v>
      </c>
      <c r="E704" s="199">
        <v>80000</v>
      </c>
      <c r="F704" s="199" t="s">
        <v>4006</v>
      </c>
      <c r="G704" s="199" t="s">
        <v>4007</v>
      </c>
      <c r="H704" s="200">
        <v>34400</v>
      </c>
      <c r="I704" s="199" t="s">
        <v>20</v>
      </c>
      <c r="J704" s="199" t="s">
        <v>415</v>
      </c>
      <c r="K704" s="201">
        <v>45639</v>
      </c>
      <c r="L704" s="199" t="s">
        <v>3319</v>
      </c>
      <c r="M704" s="199" t="s">
        <v>3320</v>
      </c>
    </row>
    <row r="705" spans="1:13" ht="85.5">
      <c r="A705" s="199">
        <v>704</v>
      </c>
      <c r="B705" s="199" t="s">
        <v>4052</v>
      </c>
      <c r="C705" s="199" t="s">
        <v>34</v>
      </c>
      <c r="D705" s="199" t="s">
        <v>35</v>
      </c>
      <c r="E705" s="199">
        <v>15000</v>
      </c>
      <c r="F705" s="199" t="s">
        <v>4006</v>
      </c>
      <c r="G705" s="199" t="s">
        <v>4007</v>
      </c>
      <c r="H705" s="200">
        <v>3450</v>
      </c>
      <c r="I705" s="199" t="s">
        <v>20</v>
      </c>
      <c r="J705" s="199" t="s">
        <v>415</v>
      </c>
      <c r="K705" s="201">
        <v>45639</v>
      </c>
      <c r="L705" s="199" t="s">
        <v>3319</v>
      </c>
      <c r="M705" s="199" t="s">
        <v>3320</v>
      </c>
    </row>
    <row r="706" spans="1:13" ht="85.5">
      <c r="A706" s="199">
        <v>705</v>
      </c>
      <c r="B706" s="199" t="s">
        <v>4053</v>
      </c>
      <c r="C706" s="199" t="s">
        <v>34</v>
      </c>
      <c r="D706" s="199" t="s">
        <v>35</v>
      </c>
      <c r="E706" s="199">
        <v>10000</v>
      </c>
      <c r="F706" s="199" t="s">
        <v>4006</v>
      </c>
      <c r="G706" s="199" t="s">
        <v>4007</v>
      </c>
      <c r="H706" s="200">
        <v>13300</v>
      </c>
      <c r="I706" s="199" t="s">
        <v>20</v>
      </c>
      <c r="J706" s="199" t="s">
        <v>415</v>
      </c>
      <c r="K706" s="201">
        <v>45639</v>
      </c>
      <c r="L706" s="199" t="s">
        <v>3319</v>
      </c>
      <c r="M706" s="199" t="s">
        <v>3320</v>
      </c>
    </row>
    <row r="707" spans="1:13" ht="85.5">
      <c r="A707" s="199">
        <v>706</v>
      </c>
      <c r="B707" s="199" t="s">
        <v>4054</v>
      </c>
      <c r="C707" s="199" t="s">
        <v>34</v>
      </c>
      <c r="D707" s="199" t="s">
        <v>35</v>
      </c>
      <c r="E707" s="199">
        <v>1000</v>
      </c>
      <c r="F707" s="199" t="s">
        <v>4006</v>
      </c>
      <c r="G707" s="199" t="s">
        <v>4007</v>
      </c>
      <c r="H707" s="200">
        <v>2360</v>
      </c>
      <c r="I707" s="199" t="s">
        <v>20</v>
      </c>
      <c r="J707" s="199" t="s">
        <v>415</v>
      </c>
      <c r="K707" s="201">
        <v>45639</v>
      </c>
      <c r="L707" s="199" t="s">
        <v>3319</v>
      </c>
      <c r="M707" s="199" t="s">
        <v>3320</v>
      </c>
    </row>
    <row r="708" spans="1:13" ht="142.5">
      <c r="A708" s="199">
        <v>707</v>
      </c>
      <c r="B708" s="199" t="s">
        <v>4055</v>
      </c>
      <c r="C708" s="199" t="s">
        <v>34</v>
      </c>
      <c r="D708" s="199" t="s">
        <v>35</v>
      </c>
      <c r="E708" s="199">
        <v>5000</v>
      </c>
      <c r="F708" s="199" t="s">
        <v>4006</v>
      </c>
      <c r="G708" s="199" t="s">
        <v>4007</v>
      </c>
      <c r="H708" s="200">
        <v>5050</v>
      </c>
      <c r="I708" s="199" t="s">
        <v>20</v>
      </c>
      <c r="J708" s="199" t="s">
        <v>415</v>
      </c>
      <c r="K708" s="201">
        <v>45639</v>
      </c>
      <c r="L708" s="199" t="s">
        <v>3319</v>
      </c>
      <c r="M708" s="199" t="s">
        <v>3320</v>
      </c>
    </row>
    <row r="709" spans="1:13" ht="85.5">
      <c r="A709" s="199">
        <v>708</v>
      </c>
      <c r="B709" s="199" t="s">
        <v>4056</v>
      </c>
      <c r="C709" s="199" t="s">
        <v>34</v>
      </c>
      <c r="D709" s="199" t="s">
        <v>35</v>
      </c>
      <c r="E709" s="199">
        <v>15000</v>
      </c>
      <c r="F709" s="199" t="s">
        <v>4006</v>
      </c>
      <c r="G709" s="199" t="s">
        <v>4007</v>
      </c>
      <c r="H709" s="200">
        <v>3900</v>
      </c>
      <c r="I709" s="199" t="s">
        <v>20</v>
      </c>
      <c r="J709" s="199" t="s">
        <v>415</v>
      </c>
      <c r="K709" s="201">
        <v>45639</v>
      </c>
      <c r="L709" s="199" t="s">
        <v>3319</v>
      </c>
      <c r="M709" s="199" t="s">
        <v>3320</v>
      </c>
    </row>
    <row r="710" spans="1:13" ht="99.75">
      <c r="A710" s="199">
        <v>709</v>
      </c>
      <c r="B710" s="199" t="s">
        <v>4057</v>
      </c>
      <c r="C710" s="199" t="s">
        <v>34</v>
      </c>
      <c r="D710" s="199" t="s">
        <v>35</v>
      </c>
      <c r="E710" s="199">
        <v>40000</v>
      </c>
      <c r="F710" s="199" t="s">
        <v>4006</v>
      </c>
      <c r="G710" s="199" t="s">
        <v>4007</v>
      </c>
      <c r="H710" s="200">
        <v>40400</v>
      </c>
      <c r="I710" s="199" t="s">
        <v>20</v>
      </c>
      <c r="J710" s="199" t="s">
        <v>415</v>
      </c>
      <c r="K710" s="201">
        <v>45639</v>
      </c>
      <c r="L710" s="199" t="s">
        <v>3319</v>
      </c>
      <c r="M710" s="199" t="s">
        <v>3320</v>
      </c>
    </row>
    <row r="711" spans="1:13" ht="85.5">
      <c r="A711" s="199">
        <v>710</v>
      </c>
      <c r="B711" s="199" t="s">
        <v>4058</v>
      </c>
      <c r="C711" s="199" t="s">
        <v>34</v>
      </c>
      <c r="D711" s="199" t="s">
        <v>35</v>
      </c>
      <c r="E711" s="199">
        <v>24</v>
      </c>
      <c r="F711" s="199" t="s">
        <v>2378</v>
      </c>
      <c r="G711" s="199" t="s">
        <v>4007</v>
      </c>
      <c r="H711" s="200">
        <v>1056</v>
      </c>
      <c r="I711" s="199" t="s">
        <v>20</v>
      </c>
      <c r="J711" s="199" t="s">
        <v>415</v>
      </c>
      <c r="K711" s="201">
        <v>45639</v>
      </c>
      <c r="L711" s="199" t="s">
        <v>3319</v>
      </c>
      <c r="M711" s="199" t="s">
        <v>3320</v>
      </c>
    </row>
    <row r="712" spans="1:13" ht="85.5">
      <c r="A712" s="199">
        <v>711</v>
      </c>
      <c r="B712" s="199" t="s">
        <v>4059</v>
      </c>
      <c r="C712" s="199" t="s">
        <v>34</v>
      </c>
      <c r="D712" s="199" t="s">
        <v>35</v>
      </c>
      <c r="E712" s="199">
        <v>1500</v>
      </c>
      <c r="F712" s="199" t="s">
        <v>4006</v>
      </c>
      <c r="G712" s="199" t="s">
        <v>4007</v>
      </c>
      <c r="H712" s="200">
        <v>375</v>
      </c>
      <c r="I712" s="199" t="s">
        <v>20</v>
      </c>
      <c r="J712" s="199" t="s">
        <v>415</v>
      </c>
      <c r="K712" s="201">
        <v>45639</v>
      </c>
      <c r="L712" s="199" t="s">
        <v>3319</v>
      </c>
      <c r="M712" s="199" t="s">
        <v>3320</v>
      </c>
    </row>
    <row r="713" spans="1:13" ht="114">
      <c r="A713" s="199">
        <v>712</v>
      </c>
      <c r="B713" s="199" t="s">
        <v>4060</v>
      </c>
      <c r="C713" s="199" t="s">
        <v>34</v>
      </c>
      <c r="D713" s="199" t="s">
        <v>35</v>
      </c>
      <c r="E713" s="199">
        <v>5000</v>
      </c>
      <c r="F713" s="199" t="s">
        <v>4006</v>
      </c>
      <c r="G713" s="199" t="s">
        <v>4007</v>
      </c>
      <c r="H713" s="200">
        <v>3300</v>
      </c>
      <c r="I713" s="199" t="s">
        <v>20</v>
      </c>
      <c r="J713" s="199" t="s">
        <v>415</v>
      </c>
      <c r="K713" s="201">
        <v>45639</v>
      </c>
      <c r="L713" s="199" t="s">
        <v>3319</v>
      </c>
      <c r="M713" s="199" t="s">
        <v>3320</v>
      </c>
    </row>
    <row r="714" spans="1:13" ht="85.5">
      <c r="A714" s="199">
        <v>713</v>
      </c>
      <c r="B714" s="199" t="s">
        <v>4061</v>
      </c>
      <c r="C714" s="199" t="s">
        <v>34</v>
      </c>
      <c r="D714" s="199" t="s">
        <v>35</v>
      </c>
      <c r="E714" s="199">
        <v>10000</v>
      </c>
      <c r="F714" s="199" t="s">
        <v>4006</v>
      </c>
      <c r="G714" s="199" t="s">
        <v>4007</v>
      </c>
      <c r="H714" s="200">
        <v>1200</v>
      </c>
      <c r="I714" s="199" t="s">
        <v>20</v>
      </c>
      <c r="J714" s="199" t="s">
        <v>415</v>
      </c>
      <c r="K714" s="201">
        <v>45639</v>
      </c>
      <c r="L714" s="199" t="s">
        <v>3319</v>
      </c>
      <c r="M714" s="199" t="s">
        <v>3320</v>
      </c>
    </row>
    <row r="715" spans="1:13" ht="85.5">
      <c r="A715" s="199">
        <v>714</v>
      </c>
      <c r="B715" s="199" t="s">
        <v>4062</v>
      </c>
      <c r="C715" s="199" t="s">
        <v>34</v>
      </c>
      <c r="D715" s="199" t="s">
        <v>35</v>
      </c>
      <c r="E715" s="199">
        <v>1000</v>
      </c>
      <c r="F715" s="199" t="s">
        <v>4009</v>
      </c>
      <c r="G715" s="199" t="s">
        <v>4007</v>
      </c>
      <c r="H715" s="200">
        <v>300</v>
      </c>
      <c r="I715" s="199" t="s">
        <v>20</v>
      </c>
      <c r="J715" s="199" t="s">
        <v>415</v>
      </c>
      <c r="K715" s="201">
        <v>45639</v>
      </c>
      <c r="L715" s="199" t="s">
        <v>3319</v>
      </c>
      <c r="M715" s="199" t="s">
        <v>3320</v>
      </c>
    </row>
    <row r="716" spans="1:13" ht="85.5">
      <c r="A716" s="199">
        <v>715</v>
      </c>
      <c r="B716" s="199" t="s">
        <v>4063</v>
      </c>
      <c r="C716" s="199" t="s">
        <v>34</v>
      </c>
      <c r="D716" s="199" t="s">
        <v>35</v>
      </c>
      <c r="E716" s="199">
        <v>3000</v>
      </c>
      <c r="F716" s="199" t="s">
        <v>4009</v>
      </c>
      <c r="G716" s="199" t="s">
        <v>4007</v>
      </c>
      <c r="H716" s="200">
        <v>870</v>
      </c>
      <c r="I716" s="199" t="s">
        <v>20</v>
      </c>
      <c r="J716" s="199" t="s">
        <v>415</v>
      </c>
      <c r="K716" s="201">
        <v>45639</v>
      </c>
      <c r="L716" s="199" t="s">
        <v>3319</v>
      </c>
      <c r="M716" s="199" t="s">
        <v>3320</v>
      </c>
    </row>
    <row r="717" spans="1:13" ht="85.5">
      <c r="A717" s="199">
        <v>716</v>
      </c>
      <c r="B717" s="199" t="s">
        <v>4064</v>
      </c>
      <c r="C717" s="199" t="s">
        <v>34</v>
      </c>
      <c r="D717" s="199" t="s">
        <v>35</v>
      </c>
      <c r="E717" s="199">
        <v>1000</v>
      </c>
      <c r="F717" s="199" t="s">
        <v>4009</v>
      </c>
      <c r="G717" s="199" t="s">
        <v>4007</v>
      </c>
      <c r="H717" s="200">
        <v>310</v>
      </c>
      <c r="I717" s="199" t="s">
        <v>20</v>
      </c>
      <c r="J717" s="199" t="s">
        <v>415</v>
      </c>
      <c r="K717" s="201">
        <v>45639</v>
      </c>
      <c r="L717" s="199" t="s">
        <v>3319</v>
      </c>
      <c r="M717" s="199" t="s">
        <v>3320</v>
      </c>
    </row>
    <row r="718" spans="1:13" ht="85.5">
      <c r="A718" s="199">
        <v>717</v>
      </c>
      <c r="B718" s="199" t="s">
        <v>4065</v>
      </c>
      <c r="C718" s="199" t="s">
        <v>34</v>
      </c>
      <c r="D718" s="199" t="s">
        <v>35</v>
      </c>
      <c r="E718" s="199">
        <v>3000</v>
      </c>
      <c r="F718" s="199" t="s">
        <v>4009</v>
      </c>
      <c r="G718" s="199" t="s">
        <v>4007</v>
      </c>
      <c r="H718" s="200">
        <v>870</v>
      </c>
      <c r="I718" s="199" t="s">
        <v>20</v>
      </c>
      <c r="J718" s="199" t="s">
        <v>415</v>
      </c>
      <c r="K718" s="201">
        <v>45639</v>
      </c>
      <c r="L718" s="199" t="s">
        <v>3319</v>
      </c>
      <c r="M718" s="199" t="s">
        <v>3320</v>
      </c>
    </row>
    <row r="719" spans="1:13" ht="85.5">
      <c r="A719" s="199">
        <v>718</v>
      </c>
      <c r="B719" s="199" t="s">
        <v>4066</v>
      </c>
      <c r="C719" s="199" t="s">
        <v>34</v>
      </c>
      <c r="D719" s="199" t="s">
        <v>35</v>
      </c>
      <c r="E719" s="199">
        <v>3000</v>
      </c>
      <c r="F719" s="199" t="s">
        <v>4009</v>
      </c>
      <c r="G719" s="199" t="s">
        <v>4007</v>
      </c>
      <c r="H719" s="200">
        <v>1020</v>
      </c>
      <c r="I719" s="199" t="s">
        <v>20</v>
      </c>
      <c r="J719" s="199" t="s">
        <v>415</v>
      </c>
      <c r="K719" s="201">
        <v>45639</v>
      </c>
      <c r="L719" s="199" t="s">
        <v>3319</v>
      </c>
      <c r="M719" s="199" t="s">
        <v>3320</v>
      </c>
    </row>
    <row r="720" spans="1:13" ht="85.5">
      <c r="A720" s="199">
        <v>719</v>
      </c>
      <c r="B720" s="199" t="s">
        <v>4067</v>
      </c>
      <c r="C720" s="199" t="s">
        <v>34</v>
      </c>
      <c r="D720" s="199" t="s">
        <v>35</v>
      </c>
      <c r="E720" s="199">
        <v>240000</v>
      </c>
      <c r="F720" s="199" t="s">
        <v>4006</v>
      </c>
      <c r="G720" s="199" t="s">
        <v>4007</v>
      </c>
      <c r="H720" s="200">
        <v>103200</v>
      </c>
      <c r="I720" s="199" t="s">
        <v>20</v>
      </c>
      <c r="J720" s="199" t="s">
        <v>415</v>
      </c>
      <c r="K720" s="201">
        <v>45639</v>
      </c>
      <c r="L720" s="199" t="s">
        <v>3319</v>
      </c>
      <c r="M720" s="199" t="s">
        <v>3320</v>
      </c>
    </row>
    <row r="721" spans="1:13" ht="85.5">
      <c r="A721" s="199">
        <v>720</v>
      </c>
      <c r="B721" s="199" t="s">
        <v>4068</v>
      </c>
      <c r="C721" s="199" t="s">
        <v>34</v>
      </c>
      <c r="D721" s="199" t="s">
        <v>35</v>
      </c>
      <c r="E721" s="199">
        <v>4000</v>
      </c>
      <c r="F721" s="199" t="s">
        <v>4006</v>
      </c>
      <c r="G721" s="199" t="s">
        <v>4007</v>
      </c>
      <c r="H721" s="200">
        <v>2240</v>
      </c>
      <c r="I721" s="199" t="s">
        <v>20</v>
      </c>
      <c r="J721" s="199" t="s">
        <v>415</v>
      </c>
      <c r="K721" s="201">
        <v>45639</v>
      </c>
      <c r="L721" s="199" t="s">
        <v>3319</v>
      </c>
      <c r="M721" s="199" t="s">
        <v>3320</v>
      </c>
    </row>
    <row r="722" spans="1:13" ht="85.5">
      <c r="A722" s="199">
        <v>721</v>
      </c>
      <c r="B722" s="199" t="s">
        <v>4069</v>
      </c>
      <c r="C722" s="199" t="s">
        <v>34</v>
      </c>
      <c r="D722" s="199" t="s">
        <v>35</v>
      </c>
      <c r="E722" s="199">
        <v>25000</v>
      </c>
      <c r="F722" s="199" t="s">
        <v>4006</v>
      </c>
      <c r="G722" s="199" t="s">
        <v>4007</v>
      </c>
      <c r="H722" s="200">
        <v>10000</v>
      </c>
      <c r="I722" s="199" t="s">
        <v>20</v>
      </c>
      <c r="J722" s="199" t="s">
        <v>415</v>
      </c>
      <c r="K722" s="201">
        <v>45639</v>
      </c>
      <c r="L722" s="199" t="s">
        <v>3319</v>
      </c>
      <c r="M722" s="199" t="s">
        <v>3320</v>
      </c>
    </row>
    <row r="723" spans="1:13" ht="85.5">
      <c r="A723" s="199">
        <v>722</v>
      </c>
      <c r="B723" s="199" t="s">
        <v>4070</v>
      </c>
      <c r="C723" s="199" t="s">
        <v>34</v>
      </c>
      <c r="D723" s="199" t="s">
        <v>35</v>
      </c>
      <c r="E723" s="199">
        <v>15000</v>
      </c>
      <c r="F723" s="199" t="s">
        <v>4006</v>
      </c>
      <c r="G723" s="199" t="s">
        <v>4007</v>
      </c>
      <c r="H723" s="200">
        <v>1650</v>
      </c>
      <c r="I723" s="199" t="s">
        <v>20</v>
      </c>
      <c r="J723" s="199" t="s">
        <v>415</v>
      </c>
      <c r="K723" s="201">
        <v>45639</v>
      </c>
      <c r="L723" s="199" t="s">
        <v>3319</v>
      </c>
      <c r="M723" s="199" t="s">
        <v>3320</v>
      </c>
    </row>
    <row r="724" spans="1:13" ht="85.5">
      <c r="A724" s="199">
        <v>723</v>
      </c>
      <c r="B724" s="199" t="s">
        <v>3644</v>
      </c>
      <c r="C724" s="199" t="s">
        <v>34</v>
      </c>
      <c r="D724" s="199" t="s">
        <v>35</v>
      </c>
      <c r="E724" s="199">
        <v>100000</v>
      </c>
      <c r="F724" s="199" t="s">
        <v>4006</v>
      </c>
      <c r="G724" s="199" t="s">
        <v>4007</v>
      </c>
      <c r="H724" s="200">
        <v>36000</v>
      </c>
      <c r="I724" s="199" t="s">
        <v>20</v>
      </c>
      <c r="J724" s="199" t="s">
        <v>415</v>
      </c>
      <c r="K724" s="201">
        <v>45639</v>
      </c>
      <c r="L724" s="199" t="s">
        <v>3319</v>
      </c>
      <c r="M724" s="199" t="s">
        <v>3320</v>
      </c>
    </row>
    <row r="725" spans="1:13" ht="185.25">
      <c r="A725" s="199">
        <v>724</v>
      </c>
      <c r="B725" s="199" t="s">
        <v>4071</v>
      </c>
      <c r="C725" s="199" t="s">
        <v>34</v>
      </c>
      <c r="D725" s="199" t="s">
        <v>35</v>
      </c>
      <c r="E725" s="199">
        <v>12</v>
      </c>
      <c r="F725" s="199" t="s">
        <v>2378</v>
      </c>
      <c r="G725" s="199" t="s">
        <v>4072</v>
      </c>
      <c r="H725" s="200">
        <v>111.6</v>
      </c>
      <c r="I725" s="199" t="s">
        <v>20</v>
      </c>
      <c r="J725" s="199" t="s">
        <v>415</v>
      </c>
      <c r="K725" s="201">
        <v>45505</v>
      </c>
      <c r="L725" s="199" t="s">
        <v>3319</v>
      </c>
      <c r="M725" s="199" t="s">
        <v>3320</v>
      </c>
    </row>
    <row r="726" spans="1:13" ht="85.5">
      <c r="A726" s="199">
        <v>725</v>
      </c>
      <c r="B726" s="199" t="s">
        <v>4073</v>
      </c>
      <c r="C726" s="199" t="s">
        <v>34</v>
      </c>
      <c r="D726" s="199" t="s">
        <v>35</v>
      </c>
      <c r="E726" s="199">
        <v>6000</v>
      </c>
      <c r="F726" s="199" t="s">
        <v>8</v>
      </c>
      <c r="G726" s="199" t="s">
        <v>4072</v>
      </c>
      <c r="H726" s="200">
        <v>900</v>
      </c>
      <c r="I726" s="199" t="s">
        <v>20</v>
      </c>
      <c r="J726" s="199" t="s">
        <v>415</v>
      </c>
      <c r="K726" s="201">
        <v>45505</v>
      </c>
      <c r="L726" s="199" t="s">
        <v>3319</v>
      </c>
      <c r="M726" s="199" t="s">
        <v>3320</v>
      </c>
    </row>
    <row r="727" spans="1:13" ht="85.5">
      <c r="A727" s="199">
        <v>726</v>
      </c>
      <c r="B727" s="199" t="s">
        <v>4074</v>
      </c>
      <c r="C727" s="199" t="s">
        <v>34</v>
      </c>
      <c r="D727" s="199" t="s">
        <v>35</v>
      </c>
      <c r="E727" s="199">
        <v>2000</v>
      </c>
      <c r="F727" s="199" t="s">
        <v>8</v>
      </c>
      <c r="G727" s="199" t="s">
        <v>4072</v>
      </c>
      <c r="H727" s="200">
        <v>300</v>
      </c>
      <c r="I727" s="199" t="s">
        <v>20</v>
      </c>
      <c r="J727" s="199" t="s">
        <v>415</v>
      </c>
      <c r="K727" s="201">
        <v>45505</v>
      </c>
      <c r="L727" s="199" t="s">
        <v>3319</v>
      </c>
      <c r="M727" s="199" t="s">
        <v>3320</v>
      </c>
    </row>
    <row r="728" spans="1:13" ht="85.5">
      <c r="A728" s="199">
        <v>727</v>
      </c>
      <c r="B728" s="199" t="s">
        <v>4075</v>
      </c>
      <c r="C728" s="199" t="s">
        <v>34</v>
      </c>
      <c r="D728" s="199" t="s">
        <v>35</v>
      </c>
      <c r="E728" s="199">
        <v>36</v>
      </c>
      <c r="F728" s="199" t="s">
        <v>8</v>
      </c>
      <c r="G728" s="199" t="s">
        <v>4072</v>
      </c>
      <c r="H728" s="200">
        <v>294.83999999999997</v>
      </c>
      <c r="I728" s="199" t="s">
        <v>20</v>
      </c>
      <c r="J728" s="199" t="s">
        <v>415</v>
      </c>
      <c r="K728" s="201">
        <v>45505</v>
      </c>
      <c r="L728" s="199" t="s">
        <v>3319</v>
      </c>
      <c r="M728" s="199" t="s">
        <v>3320</v>
      </c>
    </row>
    <row r="729" spans="1:13" ht="85.5">
      <c r="A729" s="199">
        <v>728</v>
      </c>
      <c r="B729" s="199" t="s">
        <v>4076</v>
      </c>
      <c r="C729" s="199" t="s">
        <v>34</v>
      </c>
      <c r="D729" s="199" t="s">
        <v>35</v>
      </c>
      <c r="E729" s="199">
        <v>2500</v>
      </c>
      <c r="F729" s="199" t="s">
        <v>8</v>
      </c>
      <c r="G729" s="199" t="s">
        <v>4072</v>
      </c>
      <c r="H729" s="200">
        <v>4000</v>
      </c>
      <c r="I729" s="199" t="s">
        <v>20</v>
      </c>
      <c r="J729" s="199" t="s">
        <v>415</v>
      </c>
      <c r="K729" s="201">
        <v>45505</v>
      </c>
      <c r="L729" s="199" t="s">
        <v>3319</v>
      </c>
      <c r="M729" s="199" t="s">
        <v>3320</v>
      </c>
    </row>
    <row r="730" spans="1:13" ht="85.5">
      <c r="A730" s="199">
        <v>729</v>
      </c>
      <c r="B730" s="199" t="s">
        <v>4077</v>
      </c>
      <c r="C730" s="199" t="s">
        <v>34</v>
      </c>
      <c r="D730" s="199" t="s">
        <v>35</v>
      </c>
      <c r="E730" s="199">
        <v>300</v>
      </c>
      <c r="F730" s="199" t="s">
        <v>8</v>
      </c>
      <c r="G730" s="199" t="s">
        <v>4072</v>
      </c>
      <c r="H730" s="200">
        <v>465</v>
      </c>
      <c r="I730" s="199" t="s">
        <v>20</v>
      </c>
      <c r="J730" s="199" t="s">
        <v>415</v>
      </c>
      <c r="K730" s="201">
        <v>45505</v>
      </c>
      <c r="L730" s="199" t="s">
        <v>3319</v>
      </c>
      <c r="M730" s="199" t="s">
        <v>3320</v>
      </c>
    </row>
    <row r="731" spans="1:13" ht="114">
      <c r="A731" s="199">
        <v>730</v>
      </c>
      <c r="B731" s="199" t="s">
        <v>4078</v>
      </c>
      <c r="C731" s="199" t="s">
        <v>34</v>
      </c>
      <c r="D731" s="199" t="s">
        <v>35</v>
      </c>
      <c r="E731" s="199">
        <v>125</v>
      </c>
      <c r="F731" s="199" t="s">
        <v>2378</v>
      </c>
      <c r="G731" s="199" t="s">
        <v>4072</v>
      </c>
      <c r="H731" s="200">
        <v>1717.5</v>
      </c>
      <c r="I731" s="199" t="s">
        <v>20</v>
      </c>
      <c r="J731" s="199" t="s">
        <v>415</v>
      </c>
      <c r="K731" s="201">
        <v>45505</v>
      </c>
      <c r="L731" s="199" t="s">
        <v>3319</v>
      </c>
      <c r="M731" s="199" t="s">
        <v>3320</v>
      </c>
    </row>
    <row r="732" spans="1:13" ht="85.5">
      <c r="A732" s="199">
        <v>731</v>
      </c>
      <c r="B732" s="199" t="s">
        <v>4079</v>
      </c>
      <c r="C732" s="199" t="s">
        <v>34</v>
      </c>
      <c r="D732" s="199" t="s">
        <v>35</v>
      </c>
      <c r="E732" s="199">
        <v>50</v>
      </c>
      <c r="F732" s="199" t="s">
        <v>8</v>
      </c>
      <c r="G732" s="199" t="s">
        <v>4072</v>
      </c>
      <c r="H732" s="200">
        <v>686.5</v>
      </c>
      <c r="I732" s="199" t="s">
        <v>20</v>
      </c>
      <c r="J732" s="199" t="s">
        <v>415</v>
      </c>
      <c r="K732" s="201">
        <v>45505</v>
      </c>
      <c r="L732" s="199" t="s">
        <v>3319</v>
      </c>
      <c r="M732" s="199" t="s">
        <v>3320</v>
      </c>
    </row>
    <row r="733" spans="1:13" ht="128.25">
      <c r="A733" s="199">
        <v>732</v>
      </c>
      <c r="B733" s="199" t="s">
        <v>4080</v>
      </c>
      <c r="C733" s="199" t="s">
        <v>34</v>
      </c>
      <c r="D733" s="199" t="s">
        <v>35</v>
      </c>
      <c r="E733" s="199">
        <v>4</v>
      </c>
      <c r="F733" s="199" t="s">
        <v>8</v>
      </c>
      <c r="G733" s="199" t="s">
        <v>4072</v>
      </c>
      <c r="H733" s="200">
        <v>2793.48</v>
      </c>
      <c r="I733" s="199" t="s">
        <v>20</v>
      </c>
      <c r="J733" s="199" t="s">
        <v>415</v>
      </c>
      <c r="K733" s="201">
        <v>45505</v>
      </c>
      <c r="L733" s="199" t="s">
        <v>3319</v>
      </c>
      <c r="M733" s="199" t="s">
        <v>3320</v>
      </c>
    </row>
    <row r="734" spans="1:13" ht="128.25">
      <c r="A734" s="199">
        <v>733</v>
      </c>
      <c r="B734" s="199" t="s">
        <v>4081</v>
      </c>
      <c r="C734" s="199" t="s">
        <v>34</v>
      </c>
      <c r="D734" s="199" t="s">
        <v>35</v>
      </c>
      <c r="E734" s="199">
        <v>25</v>
      </c>
      <c r="F734" s="199" t="s">
        <v>8</v>
      </c>
      <c r="G734" s="199" t="s">
        <v>4072</v>
      </c>
      <c r="H734" s="200">
        <v>6632.5</v>
      </c>
      <c r="I734" s="199" t="s">
        <v>20</v>
      </c>
      <c r="J734" s="199" t="s">
        <v>415</v>
      </c>
      <c r="K734" s="201">
        <v>45505</v>
      </c>
      <c r="L734" s="199" t="s">
        <v>3319</v>
      </c>
      <c r="M734" s="199" t="s">
        <v>3320</v>
      </c>
    </row>
    <row r="735" spans="1:13" ht="142.5">
      <c r="A735" s="199">
        <v>734</v>
      </c>
      <c r="B735" s="199" t="s">
        <v>4082</v>
      </c>
      <c r="C735" s="199" t="s">
        <v>34</v>
      </c>
      <c r="D735" s="199" t="s">
        <v>35</v>
      </c>
      <c r="E735" s="199">
        <v>60</v>
      </c>
      <c r="F735" s="199" t="s">
        <v>2378</v>
      </c>
      <c r="G735" s="199" t="s">
        <v>4072</v>
      </c>
      <c r="H735" s="200">
        <v>1161.5999999999999</v>
      </c>
      <c r="I735" s="199" t="s">
        <v>20</v>
      </c>
      <c r="J735" s="199" t="s">
        <v>415</v>
      </c>
      <c r="K735" s="201">
        <v>45505</v>
      </c>
      <c r="L735" s="199" t="s">
        <v>3319</v>
      </c>
      <c r="M735" s="199" t="s">
        <v>3320</v>
      </c>
    </row>
    <row r="736" spans="1:13" ht="128.25">
      <c r="A736" s="199">
        <v>735</v>
      </c>
      <c r="B736" s="199" t="s">
        <v>4083</v>
      </c>
      <c r="C736" s="199" t="s">
        <v>34</v>
      </c>
      <c r="D736" s="199" t="s">
        <v>35</v>
      </c>
      <c r="E736" s="199">
        <v>35</v>
      </c>
      <c r="F736" s="199" t="s">
        <v>8</v>
      </c>
      <c r="G736" s="199" t="s">
        <v>4072</v>
      </c>
      <c r="H736" s="200">
        <v>800.8</v>
      </c>
      <c r="I736" s="199" t="s">
        <v>20</v>
      </c>
      <c r="J736" s="199" t="s">
        <v>415</v>
      </c>
      <c r="K736" s="201">
        <v>45505</v>
      </c>
      <c r="L736" s="199" t="s">
        <v>3319</v>
      </c>
      <c r="M736" s="199" t="s">
        <v>3320</v>
      </c>
    </row>
    <row r="737" spans="1:13" ht="228">
      <c r="A737" s="199">
        <v>736</v>
      </c>
      <c r="B737" s="199" t="s">
        <v>4084</v>
      </c>
      <c r="C737" s="199" t="s">
        <v>34</v>
      </c>
      <c r="D737" s="199" t="s">
        <v>35</v>
      </c>
      <c r="E737" s="199">
        <v>75</v>
      </c>
      <c r="F737" s="199" t="s">
        <v>591</v>
      </c>
      <c r="G737" s="199" t="s">
        <v>4072</v>
      </c>
      <c r="H737" s="200">
        <v>3161.25</v>
      </c>
      <c r="I737" s="199" t="s">
        <v>20</v>
      </c>
      <c r="J737" s="199" t="s">
        <v>415</v>
      </c>
      <c r="K737" s="201">
        <v>45505</v>
      </c>
      <c r="L737" s="199" t="s">
        <v>3319</v>
      </c>
      <c r="M737" s="199" t="s">
        <v>3320</v>
      </c>
    </row>
    <row r="738" spans="1:13" ht="142.5">
      <c r="A738" s="199">
        <v>737</v>
      </c>
      <c r="B738" s="199" t="s">
        <v>4085</v>
      </c>
      <c r="C738" s="199" t="s">
        <v>34</v>
      </c>
      <c r="D738" s="199" t="s">
        <v>35</v>
      </c>
      <c r="E738" s="199">
        <v>2000</v>
      </c>
      <c r="F738" s="199" t="s">
        <v>591</v>
      </c>
      <c r="G738" s="199" t="s">
        <v>4072</v>
      </c>
      <c r="H738" s="200">
        <v>2220</v>
      </c>
      <c r="I738" s="199" t="s">
        <v>20</v>
      </c>
      <c r="J738" s="199" t="s">
        <v>415</v>
      </c>
      <c r="K738" s="201">
        <v>45505</v>
      </c>
      <c r="L738" s="199" t="s">
        <v>3319</v>
      </c>
      <c r="M738" s="199" t="s">
        <v>3320</v>
      </c>
    </row>
    <row r="739" spans="1:13" ht="85.5">
      <c r="A739" s="199">
        <v>738</v>
      </c>
      <c r="B739" s="199" t="s">
        <v>4086</v>
      </c>
      <c r="C739" s="199" t="s">
        <v>34</v>
      </c>
      <c r="D739" s="199" t="s">
        <v>35</v>
      </c>
      <c r="E739" s="199">
        <v>2</v>
      </c>
      <c r="F739" s="199" t="s">
        <v>8</v>
      </c>
      <c r="G739" s="199" t="s">
        <v>4072</v>
      </c>
      <c r="H739" s="200">
        <v>68</v>
      </c>
      <c r="I739" s="199" t="s">
        <v>20</v>
      </c>
      <c r="J739" s="199" t="s">
        <v>415</v>
      </c>
      <c r="K739" s="201">
        <v>45505</v>
      </c>
      <c r="L739" s="199" t="s">
        <v>3319</v>
      </c>
      <c r="M739" s="199" t="s">
        <v>3320</v>
      </c>
    </row>
    <row r="740" spans="1:13" ht="114">
      <c r="A740" s="199">
        <v>739</v>
      </c>
      <c r="B740" s="199" t="s">
        <v>4087</v>
      </c>
      <c r="C740" s="199" t="s">
        <v>34</v>
      </c>
      <c r="D740" s="199" t="s">
        <v>35</v>
      </c>
      <c r="E740" s="199">
        <v>6</v>
      </c>
      <c r="F740" s="199" t="s">
        <v>2378</v>
      </c>
      <c r="G740" s="199" t="s">
        <v>4072</v>
      </c>
      <c r="H740" s="200">
        <v>95.52</v>
      </c>
      <c r="I740" s="199" t="s">
        <v>20</v>
      </c>
      <c r="J740" s="199" t="s">
        <v>415</v>
      </c>
      <c r="K740" s="201">
        <v>45505</v>
      </c>
      <c r="L740" s="199" t="s">
        <v>3319</v>
      </c>
      <c r="M740" s="199" t="s">
        <v>3320</v>
      </c>
    </row>
    <row r="741" spans="1:13" ht="85.5">
      <c r="A741" s="199">
        <v>740</v>
      </c>
      <c r="B741" s="199" t="s">
        <v>4088</v>
      </c>
      <c r="C741" s="199" t="s">
        <v>34</v>
      </c>
      <c r="D741" s="199" t="s">
        <v>35</v>
      </c>
      <c r="E741" s="199">
        <v>20</v>
      </c>
      <c r="F741" s="199" t="s">
        <v>8</v>
      </c>
      <c r="G741" s="199" t="s">
        <v>4072</v>
      </c>
      <c r="H741" s="200">
        <v>429.2</v>
      </c>
      <c r="I741" s="199" t="s">
        <v>20</v>
      </c>
      <c r="J741" s="199" t="s">
        <v>415</v>
      </c>
      <c r="K741" s="201">
        <v>45505</v>
      </c>
      <c r="L741" s="199" t="s">
        <v>3319</v>
      </c>
      <c r="M741" s="199" t="s">
        <v>3320</v>
      </c>
    </row>
    <row r="742" spans="1:13" ht="85.5">
      <c r="A742" s="199">
        <v>741</v>
      </c>
      <c r="B742" s="199" t="s">
        <v>4089</v>
      </c>
      <c r="C742" s="199" t="s">
        <v>34</v>
      </c>
      <c r="D742" s="199" t="s">
        <v>35</v>
      </c>
      <c r="E742" s="199">
        <v>24</v>
      </c>
      <c r="F742" s="199" t="s">
        <v>8</v>
      </c>
      <c r="G742" s="199" t="s">
        <v>4072</v>
      </c>
      <c r="H742" s="200">
        <v>160.32</v>
      </c>
      <c r="I742" s="199" t="s">
        <v>20</v>
      </c>
      <c r="J742" s="199" t="s">
        <v>415</v>
      </c>
      <c r="K742" s="201">
        <v>45505</v>
      </c>
      <c r="L742" s="199" t="s">
        <v>3319</v>
      </c>
      <c r="M742" s="199" t="s">
        <v>3320</v>
      </c>
    </row>
    <row r="743" spans="1:13" ht="171">
      <c r="A743" s="199">
        <v>742</v>
      </c>
      <c r="B743" s="199" t="s">
        <v>4090</v>
      </c>
      <c r="C743" s="199" t="s">
        <v>34</v>
      </c>
      <c r="D743" s="199" t="s">
        <v>35</v>
      </c>
      <c r="E743" s="199">
        <v>240</v>
      </c>
      <c r="F743" s="199" t="s">
        <v>8</v>
      </c>
      <c r="G743" s="199" t="s">
        <v>4072</v>
      </c>
      <c r="H743" s="200">
        <v>856.8</v>
      </c>
      <c r="I743" s="199" t="s">
        <v>20</v>
      </c>
      <c r="J743" s="199" t="s">
        <v>415</v>
      </c>
      <c r="K743" s="201">
        <v>45505</v>
      </c>
      <c r="L743" s="199" t="s">
        <v>3319</v>
      </c>
      <c r="M743" s="199" t="s">
        <v>3320</v>
      </c>
    </row>
    <row r="744" spans="1:13" ht="171">
      <c r="A744" s="199">
        <v>743</v>
      </c>
      <c r="B744" s="199" t="s">
        <v>4091</v>
      </c>
      <c r="C744" s="199" t="s">
        <v>34</v>
      </c>
      <c r="D744" s="199" t="s">
        <v>35</v>
      </c>
      <c r="E744" s="199">
        <v>240</v>
      </c>
      <c r="F744" s="199" t="s">
        <v>8</v>
      </c>
      <c r="G744" s="199" t="s">
        <v>4072</v>
      </c>
      <c r="H744" s="200">
        <v>856.8</v>
      </c>
      <c r="I744" s="199" t="s">
        <v>20</v>
      </c>
      <c r="J744" s="199" t="s">
        <v>415</v>
      </c>
      <c r="K744" s="201">
        <v>45505</v>
      </c>
      <c r="L744" s="199" t="s">
        <v>3319</v>
      </c>
      <c r="M744" s="199" t="s">
        <v>3320</v>
      </c>
    </row>
    <row r="745" spans="1:13" ht="171">
      <c r="A745" s="199">
        <v>744</v>
      </c>
      <c r="B745" s="199" t="s">
        <v>4092</v>
      </c>
      <c r="C745" s="199" t="s">
        <v>34</v>
      </c>
      <c r="D745" s="199" t="s">
        <v>35</v>
      </c>
      <c r="E745" s="199">
        <v>120</v>
      </c>
      <c r="F745" s="199" t="s">
        <v>8</v>
      </c>
      <c r="G745" s="199" t="s">
        <v>4072</v>
      </c>
      <c r="H745" s="200">
        <v>428.4</v>
      </c>
      <c r="I745" s="199" t="s">
        <v>20</v>
      </c>
      <c r="J745" s="199" t="s">
        <v>415</v>
      </c>
      <c r="K745" s="201">
        <v>45505</v>
      </c>
      <c r="L745" s="199" t="s">
        <v>3319</v>
      </c>
      <c r="M745" s="199" t="s">
        <v>3320</v>
      </c>
    </row>
    <row r="746" spans="1:13" ht="85.5">
      <c r="A746" s="199">
        <v>745</v>
      </c>
      <c r="B746" s="199" t="s">
        <v>4093</v>
      </c>
      <c r="C746" s="199" t="s">
        <v>34</v>
      </c>
      <c r="D746" s="199" t="s">
        <v>35</v>
      </c>
      <c r="E746" s="199">
        <v>20</v>
      </c>
      <c r="F746" s="199" t="s">
        <v>2378</v>
      </c>
      <c r="G746" s="199" t="s">
        <v>4072</v>
      </c>
      <c r="H746" s="200">
        <v>2076.6</v>
      </c>
      <c r="I746" s="199" t="s">
        <v>20</v>
      </c>
      <c r="J746" s="199" t="s">
        <v>415</v>
      </c>
      <c r="K746" s="201">
        <v>45505</v>
      </c>
      <c r="L746" s="199" t="s">
        <v>3319</v>
      </c>
      <c r="M746" s="199" t="s">
        <v>3320</v>
      </c>
    </row>
    <row r="747" spans="1:13" ht="85.5">
      <c r="A747" s="199">
        <v>746</v>
      </c>
      <c r="B747" s="199" t="s">
        <v>4094</v>
      </c>
      <c r="C747" s="199" t="s">
        <v>34</v>
      </c>
      <c r="D747" s="199" t="s">
        <v>35</v>
      </c>
      <c r="E747" s="199">
        <v>150</v>
      </c>
      <c r="F747" s="199" t="s">
        <v>2378</v>
      </c>
      <c r="G747" s="199" t="s">
        <v>4072</v>
      </c>
      <c r="H747" s="200">
        <v>60852</v>
      </c>
      <c r="I747" s="199" t="s">
        <v>20</v>
      </c>
      <c r="J747" s="199" t="s">
        <v>415</v>
      </c>
      <c r="K747" s="201">
        <v>45505</v>
      </c>
      <c r="L747" s="199" t="s">
        <v>3319</v>
      </c>
      <c r="M747" s="199" t="s">
        <v>3320</v>
      </c>
    </row>
    <row r="748" spans="1:13" ht="85.5">
      <c r="A748" s="199">
        <v>747</v>
      </c>
      <c r="B748" s="199" t="s">
        <v>4095</v>
      </c>
      <c r="C748" s="199" t="s">
        <v>34</v>
      </c>
      <c r="D748" s="199" t="s">
        <v>35</v>
      </c>
      <c r="E748" s="199">
        <v>24</v>
      </c>
      <c r="F748" s="199" t="s">
        <v>679</v>
      </c>
      <c r="G748" s="199" t="s">
        <v>4072</v>
      </c>
      <c r="H748" s="200">
        <v>1100.8800000000001</v>
      </c>
      <c r="I748" s="199" t="s">
        <v>20</v>
      </c>
      <c r="J748" s="199" t="s">
        <v>415</v>
      </c>
      <c r="K748" s="201">
        <v>45505</v>
      </c>
      <c r="L748" s="199" t="s">
        <v>3319</v>
      </c>
      <c r="M748" s="199" t="s">
        <v>3320</v>
      </c>
    </row>
    <row r="749" spans="1:13" ht="85.5">
      <c r="A749" s="199">
        <v>748</v>
      </c>
      <c r="B749" s="199" t="s">
        <v>4096</v>
      </c>
      <c r="C749" s="199" t="s">
        <v>34</v>
      </c>
      <c r="D749" s="199" t="s">
        <v>35</v>
      </c>
      <c r="E749" s="199">
        <v>2000</v>
      </c>
      <c r="F749" s="199" t="s">
        <v>8</v>
      </c>
      <c r="G749" s="199" t="s">
        <v>4072</v>
      </c>
      <c r="H749" s="200">
        <v>5180</v>
      </c>
      <c r="I749" s="199" t="s">
        <v>20</v>
      </c>
      <c r="J749" s="199" t="s">
        <v>415</v>
      </c>
      <c r="K749" s="201">
        <v>45505</v>
      </c>
      <c r="L749" s="199" t="s">
        <v>3319</v>
      </c>
      <c r="M749" s="199" t="s">
        <v>3320</v>
      </c>
    </row>
    <row r="750" spans="1:13" ht="156.75">
      <c r="A750" s="199">
        <v>749</v>
      </c>
      <c r="B750" s="199" t="s">
        <v>4097</v>
      </c>
      <c r="C750" s="199" t="s">
        <v>34</v>
      </c>
      <c r="D750" s="199" t="s">
        <v>35</v>
      </c>
      <c r="E750" s="199">
        <v>20</v>
      </c>
      <c r="F750" s="199" t="s">
        <v>679</v>
      </c>
      <c r="G750" s="199" t="s">
        <v>4072</v>
      </c>
      <c r="H750" s="200">
        <v>555.6</v>
      </c>
      <c r="I750" s="199" t="s">
        <v>20</v>
      </c>
      <c r="J750" s="199" t="s">
        <v>415</v>
      </c>
      <c r="K750" s="201">
        <v>45505</v>
      </c>
      <c r="L750" s="199" t="s">
        <v>3319</v>
      </c>
      <c r="M750" s="199" t="s">
        <v>3320</v>
      </c>
    </row>
    <row r="751" spans="1:13" ht="114">
      <c r="A751" s="199">
        <v>750</v>
      </c>
      <c r="B751" s="199" t="s">
        <v>4098</v>
      </c>
      <c r="C751" s="199" t="s">
        <v>34</v>
      </c>
      <c r="D751" s="199" t="s">
        <v>35</v>
      </c>
      <c r="E751" s="199">
        <v>2000</v>
      </c>
      <c r="F751" s="199" t="s">
        <v>8</v>
      </c>
      <c r="G751" s="199" t="s">
        <v>4072</v>
      </c>
      <c r="H751" s="200">
        <v>26080</v>
      </c>
      <c r="I751" s="199" t="s">
        <v>20</v>
      </c>
      <c r="J751" s="199" t="s">
        <v>415</v>
      </c>
      <c r="K751" s="201">
        <v>45505</v>
      </c>
      <c r="L751" s="199" t="s">
        <v>3319</v>
      </c>
      <c r="M751" s="199" t="s">
        <v>3320</v>
      </c>
    </row>
    <row r="752" spans="1:13" ht="242.25">
      <c r="A752" s="199">
        <v>751</v>
      </c>
      <c r="B752" s="199" t="s">
        <v>4099</v>
      </c>
      <c r="C752" s="199" t="s">
        <v>34</v>
      </c>
      <c r="D752" s="199" t="s">
        <v>35</v>
      </c>
      <c r="E752" s="199">
        <v>20</v>
      </c>
      <c r="F752" s="199" t="s">
        <v>8</v>
      </c>
      <c r="G752" s="199" t="s">
        <v>4072</v>
      </c>
      <c r="H752" s="200">
        <v>2361.6</v>
      </c>
      <c r="I752" s="199" t="s">
        <v>20</v>
      </c>
      <c r="J752" s="199" t="s">
        <v>415</v>
      </c>
      <c r="K752" s="201">
        <v>45505</v>
      </c>
      <c r="L752" s="199" t="s">
        <v>3319</v>
      </c>
      <c r="M752" s="199" t="s">
        <v>3320</v>
      </c>
    </row>
    <row r="753" spans="1:13" ht="199.5">
      <c r="A753" s="199">
        <v>752</v>
      </c>
      <c r="B753" s="199" t="s">
        <v>4100</v>
      </c>
      <c r="C753" s="199" t="s">
        <v>34</v>
      </c>
      <c r="D753" s="199" t="s">
        <v>35</v>
      </c>
      <c r="E753" s="199">
        <v>6</v>
      </c>
      <c r="F753" s="199" t="s">
        <v>8</v>
      </c>
      <c r="G753" s="199" t="s">
        <v>4072</v>
      </c>
      <c r="H753" s="200">
        <v>368.94</v>
      </c>
      <c r="I753" s="199" t="s">
        <v>20</v>
      </c>
      <c r="J753" s="199" t="s">
        <v>415</v>
      </c>
      <c r="K753" s="201">
        <v>45505</v>
      </c>
      <c r="L753" s="199" t="s">
        <v>3319</v>
      </c>
      <c r="M753" s="199" t="s">
        <v>3320</v>
      </c>
    </row>
    <row r="754" spans="1:13" ht="85.5">
      <c r="A754" s="199">
        <v>753</v>
      </c>
      <c r="B754" s="199" t="s">
        <v>4101</v>
      </c>
      <c r="C754" s="199" t="s">
        <v>34</v>
      </c>
      <c r="D754" s="199" t="s">
        <v>35</v>
      </c>
      <c r="E754" s="199">
        <v>300</v>
      </c>
      <c r="F754" s="199" t="s">
        <v>8</v>
      </c>
      <c r="G754" s="199" t="s">
        <v>4072</v>
      </c>
      <c r="H754" s="200">
        <v>6051</v>
      </c>
      <c r="I754" s="199" t="s">
        <v>20</v>
      </c>
      <c r="J754" s="199" t="s">
        <v>415</v>
      </c>
      <c r="K754" s="201">
        <v>45505</v>
      </c>
      <c r="L754" s="199" t="s">
        <v>3319</v>
      </c>
      <c r="M754" s="199" t="s">
        <v>3320</v>
      </c>
    </row>
    <row r="755" spans="1:13" ht="114">
      <c r="A755" s="199">
        <v>754</v>
      </c>
      <c r="B755" s="199" t="s">
        <v>4102</v>
      </c>
      <c r="C755" s="199" t="s">
        <v>34</v>
      </c>
      <c r="D755" s="199" t="s">
        <v>35</v>
      </c>
      <c r="E755" s="199">
        <v>6000</v>
      </c>
      <c r="F755" s="199" t="s">
        <v>8</v>
      </c>
      <c r="G755" s="199" t="s">
        <v>4072</v>
      </c>
      <c r="H755" s="200">
        <v>2280</v>
      </c>
      <c r="I755" s="199" t="s">
        <v>20</v>
      </c>
      <c r="J755" s="199" t="s">
        <v>415</v>
      </c>
      <c r="K755" s="201">
        <v>45505</v>
      </c>
      <c r="L755" s="199" t="s">
        <v>3319</v>
      </c>
      <c r="M755" s="199" t="s">
        <v>3320</v>
      </c>
    </row>
    <row r="756" spans="1:13" ht="114">
      <c r="A756" s="199">
        <v>755</v>
      </c>
      <c r="B756" s="199" t="s">
        <v>4103</v>
      </c>
      <c r="C756" s="199" t="s">
        <v>34</v>
      </c>
      <c r="D756" s="199" t="s">
        <v>35</v>
      </c>
      <c r="E756" s="199">
        <v>250</v>
      </c>
      <c r="F756" s="199" t="s">
        <v>8</v>
      </c>
      <c r="G756" s="199" t="s">
        <v>4072</v>
      </c>
      <c r="H756" s="200">
        <v>142.5</v>
      </c>
      <c r="I756" s="199" t="s">
        <v>20</v>
      </c>
      <c r="J756" s="199" t="s">
        <v>415</v>
      </c>
      <c r="K756" s="201">
        <v>45505</v>
      </c>
      <c r="L756" s="199" t="s">
        <v>3319</v>
      </c>
      <c r="M756" s="199" t="s">
        <v>3320</v>
      </c>
    </row>
    <row r="757" spans="1:13" ht="114">
      <c r="A757" s="199">
        <v>756</v>
      </c>
      <c r="B757" s="199" t="s">
        <v>4104</v>
      </c>
      <c r="C757" s="199" t="s">
        <v>34</v>
      </c>
      <c r="D757" s="199" t="s">
        <v>35</v>
      </c>
      <c r="E757" s="199">
        <v>300</v>
      </c>
      <c r="F757" s="199" t="s">
        <v>8</v>
      </c>
      <c r="G757" s="199" t="s">
        <v>4072</v>
      </c>
      <c r="H757" s="200">
        <v>318</v>
      </c>
      <c r="I757" s="199" t="s">
        <v>20</v>
      </c>
      <c r="J757" s="199" t="s">
        <v>415</v>
      </c>
      <c r="K757" s="201">
        <v>45505</v>
      </c>
      <c r="L757" s="199" t="s">
        <v>3319</v>
      </c>
      <c r="M757" s="199" t="s">
        <v>3320</v>
      </c>
    </row>
    <row r="758" spans="1:13" ht="142.5">
      <c r="A758" s="199">
        <v>757</v>
      </c>
      <c r="B758" s="199" t="s">
        <v>4105</v>
      </c>
      <c r="C758" s="199" t="s">
        <v>34</v>
      </c>
      <c r="D758" s="199" t="s">
        <v>35</v>
      </c>
      <c r="E758" s="199">
        <v>4</v>
      </c>
      <c r="F758" s="199" t="s">
        <v>2378</v>
      </c>
      <c r="G758" s="199" t="s">
        <v>4072</v>
      </c>
      <c r="H758" s="200">
        <v>125.2</v>
      </c>
      <c r="I758" s="199" t="s">
        <v>20</v>
      </c>
      <c r="J758" s="199" t="s">
        <v>415</v>
      </c>
      <c r="K758" s="201">
        <v>45505</v>
      </c>
      <c r="L758" s="199" t="s">
        <v>3319</v>
      </c>
      <c r="M758" s="199" t="s">
        <v>3320</v>
      </c>
    </row>
    <row r="759" spans="1:13" ht="85.5">
      <c r="A759" s="199">
        <v>758</v>
      </c>
      <c r="B759" s="199" t="s">
        <v>4106</v>
      </c>
      <c r="C759" s="199" t="s">
        <v>34</v>
      </c>
      <c r="D759" s="199" t="s">
        <v>35</v>
      </c>
      <c r="E759" s="199">
        <v>12</v>
      </c>
      <c r="F759" s="199" t="s">
        <v>8</v>
      </c>
      <c r="G759" s="199" t="s">
        <v>4072</v>
      </c>
      <c r="H759" s="200">
        <v>764.16</v>
      </c>
      <c r="I759" s="199" t="s">
        <v>20</v>
      </c>
      <c r="J759" s="199" t="s">
        <v>415</v>
      </c>
      <c r="K759" s="201">
        <v>45505</v>
      </c>
      <c r="L759" s="199" t="s">
        <v>3319</v>
      </c>
      <c r="M759" s="199" t="s">
        <v>3320</v>
      </c>
    </row>
    <row r="760" spans="1:13" ht="85.5">
      <c r="A760" s="199">
        <v>759</v>
      </c>
      <c r="B760" s="199" t="s">
        <v>4107</v>
      </c>
      <c r="C760" s="199" t="s">
        <v>34</v>
      </c>
      <c r="D760" s="199" t="s">
        <v>35</v>
      </c>
      <c r="E760" s="199">
        <v>12</v>
      </c>
      <c r="F760" s="199" t="s">
        <v>8</v>
      </c>
      <c r="G760" s="199" t="s">
        <v>4072</v>
      </c>
      <c r="H760" s="200">
        <v>3231.72</v>
      </c>
      <c r="I760" s="199" t="s">
        <v>20</v>
      </c>
      <c r="J760" s="199" t="s">
        <v>415</v>
      </c>
      <c r="K760" s="201">
        <v>45505</v>
      </c>
      <c r="L760" s="199" t="s">
        <v>3319</v>
      </c>
      <c r="M760" s="199" t="s">
        <v>3320</v>
      </c>
    </row>
    <row r="761" spans="1:13" ht="85.5">
      <c r="A761" s="199">
        <v>760</v>
      </c>
      <c r="B761" s="199" t="s">
        <v>4108</v>
      </c>
      <c r="C761" s="199" t="s">
        <v>34</v>
      </c>
      <c r="D761" s="199" t="s">
        <v>35</v>
      </c>
      <c r="E761" s="199">
        <v>4</v>
      </c>
      <c r="F761" s="199" t="s">
        <v>8</v>
      </c>
      <c r="G761" s="199" t="s">
        <v>4072</v>
      </c>
      <c r="H761" s="200">
        <v>168.88</v>
      </c>
      <c r="I761" s="199" t="s">
        <v>20</v>
      </c>
      <c r="J761" s="199" t="s">
        <v>415</v>
      </c>
      <c r="K761" s="201">
        <v>45505</v>
      </c>
      <c r="L761" s="199" t="s">
        <v>3319</v>
      </c>
      <c r="M761" s="199" t="s">
        <v>3320</v>
      </c>
    </row>
    <row r="762" spans="1:13" ht="85.5">
      <c r="A762" s="199">
        <v>761</v>
      </c>
      <c r="B762" s="199" t="s">
        <v>4109</v>
      </c>
      <c r="C762" s="199" t="s">
        <v>34</v>
      </c>
      <c r="D762" s="199" t="s">
        <v>35</v>
      </c>
      <c r="E762" s="199">
        <v>4</v>
      </c>
      <c r="F762" s="199" t="s">
        <v>8</v>
      </c>
      <c r="G762" s="199" t="s">
        <v>4072</v>
      </c>
      <c r="H762" s="200">
        <v>303.08</v>
      </c>
      <c r="I762" s="199" t="s">
        <v>20</v>
      </c>
      <c r="J762" s="199" t="s">
        <v>415</v>
      </c>
      <c r="K762" s="201">
        <v>45505</v>
      </c>
      <c r="L762" s="199" t="s">
        <v>3319</v>
      </c>
      <c r="M762" s="199" t="s">
        <v>3320</v>
      </c>
    </row>
    <row r="763" spans="1:13" ht="85.5">
      <c r="A763" s="199">
        <v>762</v>
      </c>
      <c r="B763" s="199" t="s">
        <v>4110</v>
      </c>
      <c r="C763" s="199" t="s">
        <v>34</v>
      </c>
      <c r="D763" s="199" t="s">
        <v>35</v>
      </c>
      <c r="E763" s="199">
        <v>4</v>
      </c>
      <c r="F763" s="199" t="s">
        <v>8</v>
      </c>
      <c r="G763" s="199" t="s">
        <v>4072</v>
      </c>
      <c r="H763" s="200">
        <v>278.39999999999998</v>
      </c>
      <c r="I763" s="199" t="s">
        <v>20</v>
      </c>
      <c r="J763" s="199" t="s">
        <v>415</v>
      </c>
      <c r="K763" s="201">
        <v>45505</v>
      </c>
      <c r="L763" s="199" t="s">
        <v>3319</v>
      </c>
      <c r="M763" s="199" t="s">
        <v>3320</v>
      </c>
    </row>
    <row r="764" spans="1:13" ht="85.5">
      <c r="A764" s="199">
        <v>763</v>
      </c>
      <c r="B764" s="199" t="s">
        <v>4111</v>
      </c>
      <c r="C764" s="199" t="s">
        <v>34</v>
      </c>
      <c r="D764" s="199" t="s">
        <v>35</v>
      </c>
      <c r="E764" s="199">
        <v>100</v>
      </c>
      <c r="F764" s="199" t="s">
        <v>756</v>
      </c>
      <c r="G764" s="199" t="s">
        <v>4112</v>
      </c>
      <c r="H764" s="200">
        <v>1767</v>
      </c>
      <c r="I764" s="199" t="s">
        <v>20</v>
      </c>
      <c r="J764" s="199" t="s">
        <v>415</v>
      </c>
      <c r="K764" s="201">
        <v>45413</v>
      </c>
      <c r="L764" s="199" t="s">
        <v>3319</v>
      </c>
      <c r="M764" s="199" t="s">
        <v>3320</v>
      </c>
    </row>
    <row r="765" spans="1:13" ht="85.5">
      <c r="A765" s="199">
        <v>764</v>
      </c>
      <c r="B765" s="199" t="s">
        <v>4113</v>
      </c>
      <c r="C765" s="199" t="s">
        <v>34</v>
      </c>
      <c r="D765" s="199" t="s">
        <v>35</v>
      </c>
      <c r="E765" s="199">
        <v>100</v>
      </c>
      <c r="F765" s="199" t="s">
        <v>756</v>
      </c>
      <c r="G765" s="199" t="s">
        <v>4112</v>
      </c>
      <c r="H765" s="200">
        <v>1629</v>
      </c>
      <c r="I765" s="199" t="s">
        <v>20</v>
      </c>
      <c r="J765" s="199" t="s">
        <v>415</v>
      </c>
      <c r="K765" s="201">
        <v>45413</v>
      </c>
      <c r="L765" s="199" t="s">
        <v>3319</v>
      </c>
      <c r="M765" s="199" t="s">
        <v>3320</v>
      </c>
    </row>
    <row r="766" spans="1:13" ht="99.75">
      <c r="A766" s="199">
        <v>765</v>
      </c>
      <c r="B766" s="199" t="s">
        <v>4114</v>
      </c>
      <c r="C766" s="199" t="s">
        <v>34</v>
      </c>
      <c r="D766" s="199" t="s">
        <v>35</v>
      </c>
      <c r="E766" s="199">
        <v>100</v>
      </c>
      <c r="F766" s="199" t="s">
        <v>8</v>
      </c>
      <c r="G766" s="199" t="s">
        <v>4112</v>
      </c>
      <c r="H766" s="200">
        <v>658</v>
      </c>
      <c r="I766" s="199" t="s">
        <v>20</v>
      </c>
      <c r="J766" s="199" t="s">
        <v>415</v>
      </c>
      <c r="K766" s="201">
        <v>45413</v>
      </c>
      <c r="L766" s="199" t="s">
        <v>3319</v>
      </c>
      <c r="M766" s="199" t="s">
        <v>3320</v>
      </c>
    </row>
    <row r="767" spans="1:13" ht="99.75">
      <c r="A767" s="199">
        <v>766</v>
      </c>
      <c r="B767" s="199" t="s">
        <v>4115</v>
      </c>
      <c r="C767" s="199" t="s">
        <v>34</v>
      </c>
      <c r="D767" s="199" t="s">
        <v>35</v>
      </c>
      <c r="E767" s="199">
        <v>200</v>
      </c>
      <c r="F767" s="199" t="s">
        <v>8</v>
      </c>
      <c r="G767" s="199" t="s">
        <v>4112</v>
      </c>
      <c r="H767" s="200">
        <v>3106</v>
      </c>
      <c r="I767" s="199" t="s">
        <v>20</v>
      </c>
      <c r="J767" s="199" t="s">
        <v>415</v>
      </c>
      <c r="K767" s="201">
        <v>45413</v>
      </c>
      <c r="L767" s="199" t="s">
        <v>3319</v>
      </c>
      <c r="M767" s="199" t="s">
        <v>3320</v>
      </c>
    </row>
    <row r="768" spans="1:13" ht="85.5">
      <c r="A768" s="199">
        <v>767</v>
      </c>
      <c r="B768" s="199" t="s">
        <v>4116</v>
      </c>
      <c r="C768" s="199" t="s">
        <v>34</v>
      </c>
      <c r="D768" s="199" t="s">
        <v>35</v>
      </c>
      <c r="E768" s="199">
        <v>100</v>
      </c>
      <c r="F768" s="199" t="s">
        <v>8</v>
      </c>
      <c r="G768" s="199" t="s">
        <v>4112</v>
      </c>
      <c r="H768" s="200">
        <v>35</v>
      </c>
      <c r="I768" s="199" t="s">
        <v>20</v>
      </c>
      <c r="J768" s="199" t="s">
        <v>415</v>
      </c>
      <c r="K768" s="201">
        <v>45413</v>
      </c>
      <c r="L768" s="199" t="s">
        <v>3319</v>
      </c>
      <c r="M768" s="199" t="s">
        <v>3320</v>
      </c>
    </row>
    <row r="769" spans="1:13" ht="85.5">
      <c r="A769" s="199">
        <v>768</v>
      </c>
      <c r="B769" s="199" t="s">
        <v>958</v>
      </c>
      <c r="C769" s="199" t="s">
        <v>34</v>
      </c>
      <c r="D769" s="199" t="s">
        <v>35</v>
      </c>
      <c r="E769" s="199">
        <v>10</v>
      </c>
      <c r="F769" s="199" t="s">
        <v>591</v>
      </c>
      <c r="G769" s="199" t="s">
        <v>4112</v>
      </c>
      <c r="H769" s="200">
        <v>105.4</v>
      </c>
      <c r="I769" s="199" t="s">
        <v>20</v>
      </c>
      <c r="J769" s="199" t="s">
        <v>415</v>
      </c>
      <c r="K769" s="201">
        <v>45413</v>
      </c>
      <c r="L769" s="199" t="s">
        <v>3319</v>
      </c>
      <c r="M769" s="199" t="s">
        <v>3320</v>
      </c>
    </row>
    <row r="770" spans="1:13" ht="99.75">
      <c r="A770" s="199">
        <v>769</v>
      </c>
      <c r="B770" s="199" t="s">
        <v>51</v>
      </c>
      <c r="C770" s="199" t="s">
        <v>34</v>
      </c>
      <c r="D770" s="199" t="s">
        <v>35</v>
      </c>
      <c r="E770" s="199">
        <v>30</v>
      </c>
      <c r="F770" s="199" t="s">
        <v>591</v>
      </c>
      <c r="G770" s="199" t="s">
        <v>4112</v>
      </c>
      <c r="H770" s="200">
        <v>1550.1</v>
      </c>
      <c r="I770" s="199" t="s">
        <v>20</v>
      </c>
      <c r="J770" s="199" t="s">
        <v>415</v>
      </c>
      <c r="K770" s="201">
        <v>45413</v>
      </c>
      <c r="L770" s="199" t="s">
        <v>3319</v>
      </c>
      <c r="M770" s="199" t="s">
        <v>3320</v>
      </c>
    </row>
    <row r="771" spans="1:13" ht="128.25">
      <c r="A771" s="199">
        <v>770</v>
      </c>
      <c r="B771" s="199" t="s">
        <v>4117</v>
      </c>
      <c r="C771" s="199" t="s">
        <v>34</v>
      </c>
      <c r="D771" s="199" t="s">
        <v>35</v>
      </c>
      <c r="E771" s="199">
        <v>6</v>
      </c>
      <c r="F771" s="199" t="s">
        <v>8</v>
      </c>
      <c r="G771" s="199" t="s">
        <v>4112</v>
      </c>
      <c r="H771" s="200">
        <v>185.94</v>
      </c>
      <c r="I771" s="199" t="s">
        <v>20</v>
      </c>
      <c r="J771" s="199" t="s">
        <v>415</v>
      </c>
      <c r="K771" s="201">
        <v>45413</v>
      </c>
      <c r="L771" s="199" t="s">
        <v>3319</v>
      </c>
      <c r="M771" s="199" t="s">
        <v>3320</v>
      </c>
    </row>
    <row r="772" spans="1:13" ht="85.5">
      <c r="A772" s="199">
        <v>771</v>
      </c>
      <c r="B772" s="199" t="s">
        <v>4118</v>
      </c>
      <c r="C772" s="199" t="s">
        <v>34</v>
      </c>
      <c r="D772" s="199" t="s">
        <v>35</v>
      </c>
      <c r="E772" s="199">
        <v>200</v>
      </c>
      <c r="F772" s="199" t="s">
        <v>8</v>
      </c>
      <c r="G772" s="199" t="s">
        <v>4112</v>
      </c>
      <c r="H772" s="200">
        <v>1426</v>
      </c>
      <c r="I772" s="199" t="s">
        <v>20</v>
      </c>
      <c r="J772" s="199" t="s">
        <v>415</v>
      </c>
      <c r="K772" s="201">
        <v>45413</v>
      </c>
      <c r="L772" s="199" t="s">
        <v>3319</v>
      </c>
      <c r="M772" s="199" t="s">
        <v>3320</v>
      </c>
    </row>
    <row r="773" spans="1:13" ht="199.5">
      <c r="A773" s="199">
        <v>772</v>
      </c>
      <c r="B773" s="199" t="s">
        <v>4119</v>
      </c>
      <c r="C773" s="199" t="s">
        <v>34</v>
      </c>
      <c r="D773" s="199" t="s">
        <v>35</v>
      </c>
      <c r="E773" s="199">
        <v>100</v>
      </c>
      <c r="F773" s="199" t="s">
        <v>8</v>
      </c>
      <c r="G773" s="199" t="s">
        <v>4112</v>
      </c>
      <c r="H773" s="200">
        <v>2600</v>
      </c>
      <c r="I773" s="199" t="s">
        <v>20</v>
      </c>
      <c r="J773" s="199" t="s">
        <v>415</v>
      </c>
      <c r="K773" s="201">
        <v>45413</v>
      </c>
      <c r="L773" s="199" t="s">
        <v>3319</v>
      </c>
      <c r="M773" s="199" t="s">
        <v>3320</v>
      </c>
    </row>
    <row r="774" spans="1:13" ht="85.5">
      <c r="A774" s="199">
        <v>773</v>
      </c>
      <c r="B774" s="199" t="s">
        <v>360</v>
      </c>
      <c r="C774" s="199" t="s">
        <v>34</v>
      </c>
      <c r="D774" s="199" t="s">
        <v>35</v>
      </c>
      <c r="E774" s="199">
        <v>100</v>
      </c>
      <c r="F774" s="199" t="s">
        <v>8</v>
      </c>
      <c r="G774" s="199" t="s">
        <v>4112</v>
      </c>
      <c r="H774" s="200">
        <v>299</v>
      </c>
      <c r="I774" s="199" t="s">
        <v>20</v>
      </c>
      <c r="J774" s="199" t="s">
        <v>415</v>
      </c>
      <c r="K774" s="201">
        <v>45413</v>
      </c>
      <c r="L774" s="199" t="s">
        <v>3319</v>
      </c>
      <c r="M774" s="199" t="s">
        <v>3320</v>
      </c>
    </row>
    <row r="775" spans="1:13" ht="99.75">
      <c r="A775" s="199">
        <v>774</v>
      </c>
      <c r="B775" s="199" t="s">
        <v>4120</v>
      </c>
      <c r="C775" s="199" t="s">
        <v>34</v>
      </c>
      <c r="D775" s="199" t="s">
        <v>35</v>
      </c>
      <c r="E775" s="199">
        <v>50</v>
      </c>
      <c r="F775" s="199" t="s">
        <v>8</v>
      </c>
      <c r="G775" s="199" t="s">
        <v>4112</v>
      </c>
      <c r="H775" s="200">
        <v>1900</v>
      </c>
      <c r="I775" s="199" t="s">
        <v>20</v>
      </c>
      <c r="J775" s="199" t="s">
        <v>415</v>
      </c>
      <c r="K775" s="201">
        <v>45413</v>
      </c>
      <c r="L775" s="199" t="s">
        <v>3319</v>
      </c>
      <c r="M775" s="199" t="s">
        <v>3320</v>
      </c>
    </row>
    <row r="776" spans="1:13" ht="85.5">
      <c r="A776" s="199">
        <v>775</v>
      </c>
      <c r="B776" s="199" t="s">
        <v>4121</v>
      </c>
      <c r="C776" s="199" t="s">
        <v>34</v>
      </c>
      <c r="D776" s="199" t="s">
        <v>35</v>
      </c>
      <c r="E776" s="199">
        <v>20</v>
      </c>
      <c r="F776" s="199" t="s">
        <v>8</v>
      </c>
      <c r="G776" s="199" t="s">
        <v>4112</v>
      </c>
      <c r="H776" s="200">
        <v>1560</v>
      </c>
      <c r="I776" s="199" t="s">
        <v>20</v>
      </c>
      <c r="J776" s="199" t="s">
        <v>415</v>
      </c>
      <c r="K776" s="201">
        <v>45413</v>
      </c>
      <c r="L776" s="199" t="s">
        <v>3319</v>
      </c>
      <c r="M776" s="199" t="s">
        <v>3320</v>
      </c>
    </row>
    <row r="777" spans="1:13" ht="85.5">
      <c r="A777" s="199">
        <v>776</v>
      </c>
      <c r="B777" s="199" t="s">
        <v>1196</v>
      </c>
      <c r="C777" s="199" t="s">
        <v>34</v>
      </c>
      <c r="D777" s="199" t="s">
        <v>35</v>
      </c>
      <c r="E777" s="199">
        <v>20</v>
      </c>
      <c r="F777" s="199" t="s">
        <v>8</v>
      </c>
      <c r="G777" s="199" t="s">
        <v>4112</v>
      </c>
      <c r="H777" s="200">
        <v>5640</v>
      </c>
      <c r="I777" s="199" t="s">
        <v>20</v>
      </c>
      <c r="J777" s="199" t="s">
        <v>415</v>
      </c>
      <c r="K777" s="201">
        <v>45413</v>
      </c>
      <c r="L777" s="199" t="s">
        <v>3319</v>
      </c>
      <c r="M777" s="199" t="s">
        <v>3320</v>
      </c>
    </row>
    <row r="778" spans="1:13" ht="85.5">
      <c r="A778" s="199">
        <v>777</v>
      </c>
      <c r="B778" s="199" t="s">
        <v>4122</v>
      </c>
      <c r="C778" s="199" t="s">
        <v>34</v>
      </c>
      <c r="D778" s="199" t="s">
        <v>35</v>
      </c>
      <c r="E778" s="199">
        <v>200</v>
      </c>
      <c r="F778" s="199" t="s">
        <v>8</v>
      </c>
      <c r="G778" s="199" t="s">
        <v>4112</v>
      </c>
      <c r="H778" s="200">
        <v>490</v>
      </c>
      <c r="I778" s="199" t="s">
        <v>20</v>
      </c>
      <c r="J778" s="199" t="s">
        <v>415</v>
      </c>
      <c r="K778" s="201">
        <v>45413</v>
      </c>
      <c r="L778" s="199" t="s">
        <v>3319</v>
      </c>
      <c r="M778" s="199" t="s">
        <v>3320</v>
      </c>
    </row>
    <row r="779" spans="1:13" ht="85.5">
      <c r="A779" s="199">
        <v>778</v>
      </c>
      <c r="B779" s="199" t="s">
        <v>4123</v>
      </c>
      <c r="C779" s="199" t="s">
        <v>34</v>
      </c>
      <c r="D779" s="199" t="s">
        <v>35</v>
      </c>
      <c r="E779" s="199">
        <v>50</v>
      </c>
      <c r="F779" s="199" t="s">
        <v>8</v>
      </c>
      <c r="G779" s="199" t="s">
        <v>4112</v>
      </c>
      <c r="H779" s="200">
        <v>102.5</v>
      </c>
      <c r="I779" s="199" t="s">
        <v>20</v>
      </c>
      <c r="J779" s="199" t="s">
        <v>415</v>
      </c>
      <c r="K779" s="201">
        <v>45413</v>
      </c>
      <c r="L779" s="199" t="s">
        <v>3319</v>
      </c>
      <c r="M779" s="199" t="s">
        <v>3320</v>
      </c>
    </row>
    <row r="780" spans="1:13" ht="85.5">
      <c r="A780" s="199">
        <v>779</v>
      </c>
      <c r="B780" s="199" t="s">
        <v>109</v>
      </c>
      <c r="C780" s="199" t="s">
        <v>34</v>
      </c>
      <c r="D780" s="199" t="s">
        <v>35</v>
      </c>
      <c r="E780" s="199">
        <v>50</v>
      </c>
      <c r="F780" s="199" t="s">
        <v>8</v>
      </c>
      <c r="G780" s="199" t="s">
        <v>4112</v>
      </c>
      <c r="H780" s="200">
        <v>3000</v>
      </c>
      <c r="I780" s="199" t="s">
        <v>20</v>
      </c>
      <c r="J780" s="199" t="s">
        <v>415</v>
      </c>
      <c r="K780" s="201">
        <v>45413</v>
      </c>
      <c r="L780" s="199" t="s">
        <v>3319</v>
      </c>
      <c r="M780" s="199" t="s">
        <v>3320</v>
      </c>
    </row>
    <row r="781" spans="1:13" ht="85.5">
      <c r="A781" s="199">
        <v>780</v>
      </c>
      <c r="B781" s="199" t="s">
        <v>4124</v>
      </c>
      <c r="C781" s="199" t="s">
        <v>34</v>
      </c>
      <c r="D781" s="199" t="s">
        <v>35</v>
      </c>
      <c r="E781" s="199">
        <v>100</v>
      </c>
      <c r="F781" s="199" t="s">
        <v>8</v>
      </c>
      <c r="G781" s="199" t="s">
        <v>4112</v>
      </c>
      <c r="H781" s="200">
        <v>1185</v>
      </c>
      <c r="I781" s="199" t="s">
        <v>20</v>
      </c>
      <c r="J781" s="199" t="s">
        <v>415</v>
      </c>
      <c r="K781" s="201">
        <v>45413</v>
      </c>
      <c r="L781" s="199" t="s">
        <v>3319</v>
      </c>
      <c r="M781" s="199" t="s">
        <v>3320</v>
      </c>
    </row>
    <row r="782" spans="1:13" ht="85.5">
      <c r="A782" s="199">
        <v>781</v>
      </c>
      <c r="B782" s="199" t="s">
        <v>4125</v>
      </c>
      <c r="C782" s="199" t="s">
        <v>34</v>
      </c>
      <c r="D782" s="199" t="s">
        <v>35</v>
      </c>
      <c r="E782" s="199">
        <v>24</v>
      </c>
      <c r="F782" s="199" t="s">
        <v>8</v>
      </c>
      <c r="G782" s="199" t="s">
        <v>4112</v>
      </c>
      <c r="H782" s="200">
        <v>360</v>
      </c>
      <c r="I782" s="199" t="s">
        <v>20</v>
      </c>
      <c r="J782" s="199" t="s">
        <v>415</v>
      </c>
      <c r="K782" s="201">
        <v>45413</v>
      </c>
      <c r="L782" s="199" t="s">
        <v>3319</v>
      </c>
      <c r="M782" s="199" t="s">
        <v>3320</v>
      </c>
    </row>
    <row r="783" spans="1:13" ht="85.5">
      <c r="A783" s="199">
        <v>782</v>
      </c>
      <c r="B783" s="199" t="s">
        <v>4126</v>
      </c>
      <c r="C783" s="199" t="s">
        <v>34</v>
      </c>
      <c r="D783" s="199" t="s">
        <v>35</v>
      </c>
      <c r="E783" s="199">
        <v>15</v>
      </c>
      <c r="F783" s="199" t="s">
        <v>8</v>
      </c>
      <c r="G783" s="199" t="s">
        <v>4112</v>
      </c>
      <c r="H783" s="200">
        <v>60</v>
      </c>
      <c r="I783" s="199" t="s">
        <v>20</v>
      </c>
      <c r="J783" s="199" t="s">
        <v>415</v>
      </c>
      <c r="K783" s="201">
        <v>45413</v>
      </c>
      <c r="L783" s="199" t="s">
        <v>3319</v>
      </c>
      <c r="M783" s="199" t="s">
        <v>3320</v>
      </c>
    </row>
    <row r="784" spans="1:13" ht="85.5">
      <c r="A784" s="199">
        <v>783</v>
      </c>
      <c r="B784" s="199" t="s">
        <v>4127</v>
      </c>
      <c r="C784" s="199" t="s">
        <v>34</v>
      </c>
      <c r="D784" s="199" t="s">
        <v>35</v>
      </c>
      <c r="E784" s="199">
        <v>15</v>
      </c>
      <c r="F784" s="199" t="s">
        <v>8</v>
      </c>
      <c r="G784" s="199" t="s">
        <v>4112</v>
      </c>
      <c r="H784" s="200">
        <v>60</v>
      </c>
      <c r="I784" s="199" t="s">
        <v>20</v>
      </c>
      <c r="J784" s="199" t="s">
        <v>415</v>
      </c>
      <c r="K784" s="201">
        <v>45413</v>
      </c>
      <c r="L784" s="199" t="s">
        <v>3319</v>
      </c>
      <c r="M784" s="199" t="s">
        <v>3320</v>
      </c>
    </row>
    <row r="785" spans="1:13" ht="85.5">
      <c r="A785" s="199">
        <v>784</v>
      </c>
      <c r="B785" s="199" t="s">
        <v>4128</v>
      </c>
      <c r="C785" s="199" t="s">
        <v>34</v>
      </c>
      <c r="D785" s="199" t="s">
        <v>35</v>
      </c>
      <c r="E785" s="199">
        <v>15</v>
      </c>
      <c r="F785" s="199" t="s">
        <v>8</v>
      </c>
      <c r="G785" s="199" t="s">
        <v>4112</v>
      </c>
      <c r="H785" s="200">
        <v>60</v>
      </c>
      <c r="I785" s="199" t="s">
        <v>20</v>
      </c>
      <c r="J785" s="199" t="s">
        <v>415</v>
      </c>
      <c r="K785" s="201">
        <v>45413</v>
      </c>
      <c r="L785" s="199" t="s">
        <v>3319</v>
      </c>
      <c r="M785" s="199" t="s">
        <v>3320</v>
      </c>
    </row>
    <row r="786" spans="1:13" ht="85.5">
      <c r="A786" s="199">
        <v>785</v>
      </c>
      <c r="B786" s="199" t="s">
        <v>4129</v>
      </c>
      <c r="C786" s="199" t="s">
        <v>34</v>
      </c>
      <c r="D786" s="199" t="s">
        <v>35</v>
      </c>
      <c r="E786" s="199">
        <v>100</v>
      </c>
      <c r="F786" s="199" t="s">
        <v>4130</v>
      </c>
      <c r="G786" s="199" t="s">
        <v>4112</v>
      </c>
      <c r="H786" s="200">
        <v>14450</v>
      </c>
      <c r="I786" s="199" t="s">
        <v>20</v>
      </c>
      <c r="J786" s="199" t="s">
        <v>415</v>
      </c>
      <c r="K786" s="201">
        <v>45413</v>
      </c>
      <c r="L786" s="199" t="s">
        <v>3319</v>
      </c>
      <c r="M786" s="199" t="s">
        <v>3320</v>
      </c>
    </row>
    <row r="787" spans="1:13" ht="85.5">
      <c r="A787" s="199">
        <v>786</v>
      </c>
      <c r="B787" s="199" t="s">
        <v>4131</v>
      </c>
      <c r="C787" s="199" t="s">
        <v>34</v>
      </c>
      <c r="D787" s="199" t="s">
        <v>35</v>
      </c>
      <c r="E787" s="199">
        <v>100</v>
      </c>
      <c r="F787" s="199" t="s">
        <v>8</v>
      </c>
      <c r="G787" s="199" t="s">
        <v>4112</v>
      </c>
      <c r="H787" s="200">
        <v>3000</v>
      </c>
      <c r="I787" s="199" t="s">
        <v>20</v>
      </c>
      <c r="J787" s="199" t="s">
        <v>415</v>
      </c>
      <c r="K787" s="201">
        <v>45413</v>
      </c>
      <c r="L787" s="199" t="s">
        <v>3319</v>
      </c>
      <c r="M787" s="199" t="s">
        <v>3320</v>
      </c>
    </row>
    <row r="788" spans="1:13" ht="85.5">
      <c r="A788" s="199">
        <v>787</v>
      </c>
      <c r="B788" s="199" t="s">
        <v>4132</v>
      </c>
      <c r="C788" s="199" t="s">
        <v>34</v>
      </c>
      <c r="D788" s="199" t="s">
        <v>35</v>
      </c>
      <c r="E788" s="199">
        <v>24</v>
      </c>
      <c r="F788" s="199" t="s">
        <v>8</v>
      </c>
      <c r="G788" s="199" t="s">
        <v>4112</v>
      </c>
      <c r="H788" s="200">
        <v>432</v>
      </c>
      <c r="I788" s="199" t="s">
        <v>20</v>
      </c>
      <c r="J788" s="199" t="s">
        <v>415</v>
      </c>
      <c r="K788" s="201">
        <v>45413</v>
      </c>
      <c r="L788" s="199" t="s">
        <v>3319</v>
      </c>
      <c r="M788" s="199" t="s">
        <v>3320</v>
      </c>
    </row>
    <row r="789" spans="1:13" ht="85.5">
      <c r="A789" s="199">
        <v>788</v>
      </c>
      <c r="B789" s="199" t="s">
        <v>4133</v>
      </c>
      <c r="C789" s="199" t="s">
        <v>34</v>
      </c>
      <c r="D789" s="199" t="s">
        <v>35</v>
      </c>
      <c r="E789" s="199">
        <v>50</v>
      </c>
      <c r="F789" s="199" t="s">
        <v>679</v>
      </c>
      <c r="G789" s="199" t="s">
        <v>4112</v>
      </c>
      <c r="H789" s="200">
        <v>621</v>
      </c>
      <c r="I789" s="199" t="s">
        <v>20</v>
      </c>
      <c r="J789" s="199" t="s">
        <v>415</v>
      </c>
      <c r="K789" s="201">
        <v>45413</v>
      </c>
      <c r="L789" s="199" t="s">
        <v>3319</v>
      </c>
      <c r="M789" s="199" t="s">
        <v>3320</v>
      </c>
    </row>
    <row r="790" spans="1:13" ht="85.5">
      <c r="A790" s="199">
        <v>789</v>
      </c>
      <c r="B790" s="199" t="s">
        <v>4134</v>
      </c>
      <c r="C790" s="199" t="s">
        <v>34</v>
      </c>
      <c r="D790" s="199" t="s">
        <v>35</v>
      </c>
      <c r="E790" s="199">
        <v>20</v>
      </c>
      <c r="F790" s="199" t="s">
        <v>8</v>
      </c>
      <c r="G790" s="199" t="s">
        <v>4112</v>
      </c>
      <c r="H790" s="200">
        <v>54</v>
      </c>
      <c r="I790" s="199" t="s">
        <v>20</v>
      </c>
      <c r="J790" s="199" t="s">
        <v>415</v>
      </c>
      <c r="K790" s="201">
        <v>45413</v>
      </c>
      <c r="L790" s="199" t="s">
        <v>3319</v>
      </c>
      <c r="M790" s="199" t="s">
        <v>3320</v>
      </c>
    </row>
    <row r="791" spans="1:13" ht="85.5">
      <c r="A791" s="199">
        <v>790</v>
      </c>
      <c r="B791" s="199" t="s">
        <v>4135</v>
      </c>
      <c r="C791" s="199" t="s">
        <v>34</v>
      </c>
      <c r="D791" s="199" t="s">
        <v>35</v>
      </c>
      <c r="E791" s="199">
        <v>20</v>
      </c>
      <c r="F791" s="199" t="s">
        <v>8</v>
      </c>
      <c r="G791" s="199" t="s">
        <v>4112</v>
      </c>
      <c r="H791" s="200">
        <v>58</v>
      </c>
      <c r="I791" s="199" t="s">
        <v>20</v>
      </c>
      <c r="J791" s="199" t="s">
        <v>415</v>
      </c>
      <c r="K791" s="201">
        <v>45413</v>
      </c>
      <c r="L791" s="199" t="s">
        <v>3319</v>
      </c>
      <c r="M791" s="199" t="s">
        <v>3320</v>
      </c>
    </row>
    <row r="792" spans="1:13" ht="85.5">
      <c r="A792" s="199">
        <v>791</v>
      </c>
      <c r="B792" s="199" t="s">
        <v>4136</v>
      </c>
      <c r="C792" s="199" t="s">
        <v>34</v>
      </c>
      <c r="D792" s="199" t="s">
        <v>35</v>
      </c>
      <c r="E792" s="199">
        <v>20</v>
      </c>
      <c r="F792" s="199" t="s">
        <v>8</v>
      </c>
      <c r="G792" s="199" t="s">
        <v>4112</v>
      </c>
      <c r="H792" s="200">
        <v>61</v>
      </c>
      <c r="I792" s="199" t="s">
        <v>20</v>
      </c>
      <c r="J792" s="199" t="s">
        <v>415</v>
      </c>
      <c r="K792" s="201">
        <v>45413</v>
      </c>
      <c r="L792" s="199" t="s">
        <v>3319</v>
      </c>
      <c r="M792" s="199" t="s">
        <v>3320</v>
      </c>
    </row>
    <row r="793" spans="1:13" ht="85.5">
      <c r="A793" s="199">
        <v>792</v>
      </c>
      <c r="B793" s="199" t="s">
        <v>4137</v>
      </c>
      <c r="C793" s="199" t="s">
        <v>34</v>
      </c>
      <c r="D793" s="199" t="s">
        <v>35</v>
      </c>
      <c r="E793" s="199">
        <v>20</v>
      </c>
      <c r="F793" s="199" t="s">
        <v>8</v>
      </c>
      <c r="G793" s="199" t="s">
        <v>4112</v>
      </c>
      <c r="H793" s="200">
        <v>64</v>
      </c>
      <c r="I793" s="199" t="s">
        <v>20</v>
      </c>
      <c r="J793" s="199" t="s">
        <v>415</v>
      </c>
      <c r="K793" s="201">
        <v>45413</v>
      </c>
      <c r="L793" s="199" t="s">
        <v>3319</v>
      </c>
      <c r="M793" s="199" t="s">
        <v>3320</v>
      </c>
    </row>
    <row r="794" spans="1:13" ht="99.75">
      <c r="A794" s="199">
        <v>793</v>
      </c>
      <c r="B794" s="199" t="s">
        <v>4138</v>
      </c>
      <c r="C794" s="199" t="s">
        <v>34</v>
      </c>
      <c r="D794" s="199" t="s">
        <v>35</v>
      </c>
      <c r="E794" s="199">
        <v>20</v>
      </c>
      <c r="F794" s="199" t="s">
        <v>8</v>
      </c>
      <c r="G794" s="199" t="s">
        <v>4112</v>
      </c>
      <c r="H794" s="200">
        <v>68</v>
      </c>
      <c r="I794" s="199" t="s">
        <v>20</v>
      </c>
      <c r="J794" s="199" t="s">
        <v>415</v>
      </c>
      <c r="K794" s="201">
        <v>45413</v>
      </c>
      <c r="L794" s="199" t="s">
        <v>3319</v>
      </c>
      <c r="M794" s="199" t="s">
        <v>3320</v>
      </c>
    </row>
    <row r="795" spans="1:13" ht="99.75">
      <c r="A795" s="199">
        <v>794</v>
      </c>
      <c r="B795" s="199" t="s">
        <v>4139</v>
      </c>
      <c r="C795" s="199" t="s">
        <v>34</v>
      </c>
      <c r="D795" s="199" t="s">
        <v>35</v>
      </c>
      <c r="E795" s="199">
        <v>20</v>
      </c>
      <c r="F795" s="199" t="s">
        <v>8</v>
      </c>
      <c r="G795" s="199" t="s">
        <v>4112</v>
      </c>
      <c r="H795" s="200">
        <v>72</v>
      </c>
      <c r="I795" s="199" t="s">
        <v>20</v>
      </c>
      <c r="J795" s="199" t="s">
        <v>415</v>
      </c>
      <c r="K795" s="201">
        <v>45413</v>
      </c>
      <c r="L795" s="199" t="s">
        <v>3319</v>
      </c>
      <c r="M795" s="199" t="s">
        <v>3320</v>
      </c>
    </row>
    <row r="796" spans="1:13" ht="99.75">
      <c r="A796" s="199">
        <v>795</v>
      </c>
      <c r="B796" s="199" t="s">
        <v>4140</v>
      </c>
      <c r="C796" s="199" t="s">
        <v>34</v>
      </c>
      <c r="D796" s="199" t="s">
        <v>35</v>
      </c>
      <c r="E796" s="199">
        <v>20</v>
      </c>
      <c r="F796" s="199" t="s">
        <v>8</v>
      </c>
      <c r="G796" s="199" t="s">
        <v>4112</v>
      </c>
      <c r="H796" s="200">
        <v>88</v>
      </c>
      <c r="I796" s="199" t="s">
        <v>20</v>
      </c>
      <c r="J796" s="199" t="s">
        <v>415</v>
      </c>
      <c r="K796" s="201">
        <v>45413</v>
      </c>
      <c r="L796" s="199" t="s">
        <v>3319</v>
      </c>
      <c r="M796" s="199" t="s">
        <v>3320</v>
      </c>
    </row>
    <row r="797" spans="1:13" ht="99.75">
      <c r="A797" s="199">
        <v>796</v>
      </c>
      <c r="B797" s="199" t="s">
        <v>4141</v>
      </c>
      <c r="C797" s="199" t="s">
        <v>34</v>
      </c>
      <c r="D797" s="199" t="s">
        <v>35</v>
      </c>
      <c r="E797" s="199">
        <v>20</v>
      </c>
      <c r="F797" s="199" t="s">
        <v>8</v>
      </c>
      <c r="G797" s="199" t="s">
        <v>4112</v>
      </c>
      <c r="H797" s="200">
        <v>102</v>
      </c>
      <c r="I797" s="199" t="s">
        <v>20</v>
      </c>
      <c r="J797" s="199" t="s">
        <v>415</v>
      </c>
      <c r="K797" s="201">
        <v>45413</v>
      </c>
      <c r="L797" s="199" t="s">
        <v>3319</v>
      </c>
      <c r="M797" s="199" t="s">
        <v>3320</v>
      </c>
    </row>
    <row r="798" spans="1:13" ht="85.5">
      <c r="A798" s="199">
        <v>797</v>
      </c>
      <c r="B798" s="199" t="s">
        <v>1079</v>
      </c>
      <c r="C798" s="199" t="s">
        <v>34</v>
      </c>
      <c r="D798" s="199" t="s">
        <v>35</v>
      </c>
      <c r="E798" s="199">
        <v>10</v>
      </c>
      <c r="F798" s="199" t="s">
        <v>8</v>
      </c>
      <c r="G798" s="199" t="s">
        <v>4112</v>
      </c>
      <c r="H798" s="200">
        <v>45.5</v>
      </c>
      <c r="I798" s="199" t="s">
        <v>20</v>
      </c>
      <c r="J798" s="199" t="s">
        <v>415</v>
      </c>
      <c r="K798" s="201">
        <v>45413</v>
      </c>
      <c r="L798" s="199" t="s">
        <v>3319</v>
      </c>
      <c r="M798" s="199" t="s">
        <v>3320</v>
      </c>
    </row>
    <row r="799" spans="1:13" ht="85.5">
      <c r="A799" s="199">
        <v>798</v>
      </c>
      <c r="B799" s="199" t="s">
        <v>4142</v>
      </c>
      <c r="C799" s="199" t="s">
        <v>34</v>
      </c>
      <c r="D799" s="199" t="s">
        <v>35</v>
      </c>
      <c r="E799" s="199">
        <v>10</v>
      </c>
      <c r="F799" s="199" t="s">
        <v>8</v>
      </c>
      <c r="G799" s="199" t="s">
        <v>4112</v>
      </c>
      <c r="H799" s="200">
        <v>69.2</v>
      </c>
      <c r="I799" s="199" t="s">
        <v>20</v>
      </c>
      <c r="J799" s="199" t="s">
        <v>415</v>
      </c>
      <c r="K799" s="201">
        <v>45413</v>
      </c>
      <c r="L799" s="199" t="s">
        <v>3319</v>
      </c>
      <c r="M799" s="199" t="s">
        <v>3320</v>
      </c>
    </row>
    <row r="800" spans="1:13" ht="85.5">
      <c r="A800" s="199">
        <v>799</v>
      </c>
      <c r="B800" s="199" t="s">
        <v>4143</v>
      </c>
      <c r="C800" s="199" t="s">
        <v>34</v>
      </c>
      <c r="D800" s="199" t="s">
        <v>35</v>
      </c>
      <c r="E800" s="199">
        <v>300</v>
      </c>
      <c r="F800" s="199" t="s">
        <v>756</v>
      </c>
      <c r="G800" s="199" t="s">
        <v>4112</v>
      </c>
      <c r="H800" s="200">
        <v>1905</v>
      </c>
      <c r="I800" s="199" t="s">
        <v>20</v>
      </c>
      <c r="J800" s="199" t="s">
        <v>415</v>
      </c>
      <c r="K800" s="201">
        <v>45413</v>
      </c>
      <c r="L800" s="199" t="s">
        <v>3319</v>
      </c>
      <c r="M800" s="199" t="s">
        <v>3320</v>
      </c>
    </row>
    <row r="801" spans="1:13" ht="85.5">
      <c r="A801" s="199">
        <v>800</v>
      </c>
      <c r="B801" s="199" t="s">
        <v>4144</v>
      </c>
      <c r="C801" s="199" t="s">
        <v>34</v>
      </c>
      <c r="D801" s="199" t="s">
        <v>35</v>
      </c>
      <c r="E801" s="199">
        <v>200</v>
      </c>
      <c r="F801" s="199" t="s">
        <v>591</v>
      </c>
      <c r="G801" s="199" t="s">
        <v>4112</v>
      </c>
      <c r="H801" s="200">
        <v>2120</v>
      </c>
      <c r="I801" s="199" t="s">
        <v>20</v>
      </c>
      <c r="J801" s="199" t="s">
        <v>415</v>
      </c>
      <c r="K801" s="201">
        <v>45413</v>
      </c>
      <c r="L801" s="199" t="s">
        <v>3319</v>
      </c>
      <c r="M801" s="199" t="s">
        <v>3320</v>
      </c>
    </row>
    <row r="802" spans="1:13" ht="85.5">
      <c r="A802" s="199">
        <v>801</v>
      </c>
      <c r="B802" s="199" t="s">
        <v>4145</v>
      </c>
      <c r="C802" s="199" t="s">
        <v>34</v>
      </c>
      <c r="D802" s="199" t="s">
        <v>35</v>
      </c>
      <c r="E802" s="199">
        <v>40</v>
      </c>
      <c r="F802" s="199" t="s">
        <v>756</v>
      </c>
      <c r="G802" s="199" t="s">
        <v>4112</v>
      </c>
      <c r="H802" s="200">
        <v>1200</v>
      </c>
      <c r="I802" s="199" t="s">
        <v>20</v>
      </c>
      <c r="J802" s="199" t="s">
        <v>415</v>
      </c>
      <c r="K802" s="201">
        <v>45413</v>
      </c>
      <c r="L802" s="199" t="s">
        <v>3319</v>
      </c>
      <c r="M802" s="199" t="s">
        <v>3320</v>
      </c>
    </row>
    <row r="803" spans="1:13" ht="85.5">
      <c r="A803" s="199">
        <v>802</v>
      </c>
      <c r="B803" s="199" t="s">
        <v>4146</v>
      </c>
      <c r="C803" s="199" t="s">
        <v>34</v>
      </c>
      <c r="D803" s="199" t="s">
        <v>35</v>
      </c>
      <c r="E803" s="199">
        <v>5000</v>
      </c>
      <c r="F803" s="199" t="s">
        <v>756</v>
      </c>
      <c r="G803" s="199" t="s">
        <v>4112</v>
      </c>
      <c r="H803" s="200">
        <v>1150</v>
      </c>
      <c r="I803" s="199" t="s">
        <v>20</v>
      </c>
      <c r="J803" s="199" t="s">
        <v>415</v>
      </c>
      <c r="K803" s="201">
        <v>45413</v>
      </c>
      <c r="L803" s="199" t="s">
        <v>3319</v>
      </c>
      <c r="M803" s="199" t="s">
        <v>3320</v>
      </c>
    </row>
    <row r="804" spans="1:13" ht="85.5">
      <c r="A804" s="199">
        <v>803</v>
      </c>
      <c r="B804" s="199" t="s">
        <v>4147</v>
      </c>
      <c r="C804" s="199" t="s">
        <v>34</v>
      </c>
      <c r="D804" s="199" t="s">
        <v>35</v>
      </c>
      <c r="E804" s="199">
        <v>10</v>
      </c>
      <c r="F804" s="199" t="s">
        <v>679</v>
      </c>
      <c r="G804" s="199" t="s">
        <v>4112</v>
      </c>
      <c r="H804" s="200">
        <v>2416.6999999999998</v>
      </c>
      <c r="I804" s="199" t="s">
        <v>20</v>
      </c>
      <c r="J804" s="199" t="s">
        <v>415</v>
      </c>
      <c r="K804" s="201">
        <v>45413</v>
      </c>
      <c r="L804" s="199" t="s">
        <v>3319</v>
      </c>
      <c r="M804" s="199" t="s">
        <v>3320</v>
      </c>
    </row>
    <row r="805" spans="1:13" ht="85.5">
      <c r="A805" s="199">
        <v>804</v>
      </c>
      <c r="B805" s="199" t="s">
        <v>1137</v>
      </c>
      <c r="C805" s="199" t="s">
        <v>34</v>
      </c>
      <c r="D805" s="199" t="s">
        <v>35</v>
      </c>
      <c r="E805" s="199">
        <v>100</v>
      </c>
      <c r="F805" s="199" t="s">
        <v>756</v>
      </c>
      <c r="G805" s="199" t="s">
        <v>4112</v>
      </c>
      <c r="H805" s="200">
        <v>20</v>
      </c>
      <c r="I805" s="199" t="s">
        <v>20</v>
      </c>
      <c r="J805" s="199" t="s">
        <v>415</v>
      </c>
      <c r="K805" s="201">
        <v>45413</v>
      </c>
      <c r="L805" s="199" t="s">
        <v>3319</v>
      </c>
      <c r="M805" s="199" t="s">
        <v>3320</v>
      </c>
    </row>
    <row r="806" spans="1:13" ht="85.5">
      <c r="A806" s="199">
        <v>805</v>
      </c>
      <c r="B806" s="199" t="s">
        <v>4148</v>
      </c>
      <c r="C806" s="199" t="s">
        <v>34</v>
      </c>
      <c r="D806" s="199" t="s">
        <v>35</v>
      </c>
      <c r="E806" s="199">
        <v>2000</v>
      </c>
      <c r="F806" s="199" t="s">
        <v>756</v>
      </c>
      <c r="G806" s="199" t="s">
        <v>4112</v>
      </c>
      <c r="H806" s="200">
        <v>480</v>
      </c>
      <c r="I806" s="199" t="s">
        <v>20</v>
      </c>
      <c r="J806" s="199" t="s">
        <v>415</v>
      </c>
      <c r="K806" s="201">
        <v>45413</v>
      </c>
      <c r="L806" s="199" t="s">
        <v>3319</v>
      </c>
      <c r="M806" s="199" t="s">
        <v>3320</v>
      </c>
    </row>
    <row r="807" spans="1:13" ht="85.5">
      <c r="A807" s="199">
        <v>806</v>
      </c>
      <c r="B807" s="199" t="s">
        <v>4149</v>
      </c>
      <c r="C807" s="199" t="s">
        <v>34</v>
      </c>
      <c r="D807" s="199" t="s">
        <v>35</v>
      </c>
      <c r="E807" s="199">
        <v>1000</v>
      </c>
      <c r="F807" s="199" t="s">
        <v>756</v>
      </c>
      <c r="G807" s="199" t="s">
        <v>4112</v>
      </c>
      <c r="H807" s="200">
        <v>580</v>
      </c>
      <c r="I807" s="199" t="s">
        <v>20</v>
      </c>
      <c r="J807" s="199" t="s">
        <v>415</v>
      </c>
      <c r="K807" s="201">
        <v>45413</v>
      </c>
      <c r="L807" s="199" t="s">
        <v>3319</v>
      </c>
      <c r="M807" s="199" t="s">
        <v>3320</v>
      </c>
    </row>
    <row r="808" spans="1:13" ht="99.75">
      <c r="A808" s="199">
        <v>807</v>
      </c>
      <c r="B808" s="199" t="s">
        <v>4150</v>
      </c>
      <c r="C808" s="199" t="s">
        <v>34</v>
      </c>
      <c r="D808" s="199" t="s">
        <v>35</v>
      </c>
      <c r="E808" s="199">
        <v>10</v>
      </c>
      <c r="F808" s="199" t="s">
        <v>679</v>
      </c>
      <c r="G808" s="199" t="s">
        <v>4112</v>
      </c>
      <c r="H808" s="200">
        <v>200</v>
      </c>
      <c r="I808" s="199" t="s">
        <v>20</v>
      </c>
      <c r="J808" s="199" t="s">
        <v>415</v>
      </c>
      <c r="K808" s="201">
        <v>45413</v>
      </c>
      <c r="L808" s="199" t="s">
        <v>3319</v>
      </c>
      <c r="M808" s="199" t="s">
        <v>3320</v>
      </c>
    </row>
    <row r="809" spans="1:13" ht="99.75">
      <c r="A809" s="199">
        <v>808</v>
      </c>
      <c r="B809" s="199" t="s">
        <v>4151</v>
      </c>
      <c r="C809" s="199" t="s">
        <v>34</v>
      </c>
      <c r="D809" s="199" t="s">
        <v>35</v>
      </c>
      <c r="E809" s="199">
        <v>10</v>
      </c>
      <c r="F809" s="199" t="s">
        <v>679</v>
      </c>
      <c r="G809" s="199" t="s">
        <v>4112</v>
      </c>
      <c r="H809" s="200">
        <v>200</v>
      </c>
      <c r="I809" s="199" t="s">
        <v>20</v>
      </c>
      <c r="J809" s="199" t="s">
        <v>415</v>
      </c>
      <c r="K809" s="201">
        <v>45413</v>
      </c>
      <c r="L809" s="199" t="s">
        <v>3319</v>
      </c>
      <c r="M809" s="199" t="s">
        <v>3320</v>
      </c>
    </row>
    <row r="810" spans="1:13" ht="128.25">
      <c r="A810" s="199">
        <v>809</v>
      </c>
      <c r="B810" s="199" t="s">
        <v>4152</v>
      </c>
      <c r="C810" s="199" t="s">
        <v>34</v>
      </c>
      <c r="D810" s="199" t="s">
        <v>35</v>
      </c>
      <c r="E810" s="199">
        <v>10</v>
      </c>
      <c r="F810" s="199" t="s">
        <v>679</v>
      </c>
      <c r="G810" s="199" t="s">
        <v>4112</v>
      </c>
      <c r="H810" s="200">
        <v>200</v>
      </c>
      <c r="I810" s="199" t="s">
        <v>20</v>
      </c>
      <c r="J810" s="199" t="s">
        <v>415</v>
      </c>
      <c r="K810" s="201">
        <v>45413</v>
      </c>
      <c r="L810" s="199" t="s">
        <v>3319</v>
      </c>
      <c r="M810" s="199" t="s">
        <v>3320</v>
      </c>
    </row>
    <row r="811" spans="1:13" ht="85.5">
      <c r="A811" s="199">
        <v>810</v>
      </c>
      <c r="B811" s="199" t="s">
        <v>4153</v>
      </c>
      <c r="C811" s="199" t="s">
        <v>34</v>
      </c>
      <c r="D811" s="199" t="s">
        <v>35</v>
      </c>
      <c r="E811" s="199">
        <v>5</v>
      </c>
      <c r="F811" s="199" t="s">
        <v>679</v>
      </c>
      <c r="G811" s="199" t="s">
        <v>4112</v>
      </c>
      <c r="H811" s="200">
        <v>1300</v>
      </c>
      <c r="I811" s="199" t="s">
        <v>20</v>
      </c>
      <c r="J811" s="199" t="s">
        <v>415</v>
      </c>
      <c r="K811" s="201">
        <v>45413</v>
      </c>
      <c r="L811" s="199" t="s">
        <v>3319</v>
      </c>
      <c r="M811" s="199" t="s">
        <v>3320</v>
      </c>
    </row>
    <row r="812" spans="1:13" ht="85.5">
      <c r="A812" s="199">
        <v>811</v>
      </c>
      <c r="B812" s="199" t="s">
        <v>4154</v>
      </c>
      <c r="C812" s="199" t="s">
        <v>34</v>
      </c>
      <c r="D812" s="199" t="s">
        <v>35</v>
      </c>
      <c r="E812" s="199">
        <v>50</v>
      </c>
      <c r="F812" s="199" t="s">
        <v>8</v>
      </c>
      <c r="G812" s="199" t="s">
        <v>4112</v>
      </c>
      <c r="H812" s="200">
        <v>6500</v>
      </c>
      <c r="I812" s="199" t="s">
        <v>20</v>
      </c>
      <c r="J812" s="199" t="s">
        <v>415</v>
      </c>
      <c r="K812" s="201">
        <v>45413</v>
      </c>
      <c r="L812" s="199" t="s">
        <v>3319</v>
      </c>
      <c r="M812" s="199" t="s">
        <v>3320</v>
      </c>
    </row>
    <row r="813" spans="1:13" ht="57">
      <c r="A813" s="199">
        <v>812</v>
      </c>
      <c r="B813" s="199" t="s">
        <v>4155</v>
      </c>
      <c r="C813" s="199" t="s">
        <v>34</v>
      </c>
      <c r="D813" s="199" t="s">
        <v>35</v>
      </c>
      <c r="E813" s="199">
        <v>10</v>
      </c>
      <c r="F813" s="199" t="s">
        <v>591</v>
      </c>
      <c r="G813" s="199" t="s">
        <v>4112</v>
      </c>
      <c r="H813" s="200">
        <v>169.7</v>
      </c>
      <c r="I813" s="199"/>
      <c r="J813" s="199"/>
      <c r="K813" s="199"/>
      <c r="L813" s="199"/>
      <c r="M813" s="199" t="s">
        <v>3320</v>
      </c>
    </row>
    <row r="814" spans="1:13" ht="99.75">
      <c r="A814" s="199">
        <v>813</v>
      </c>
      <c r="B814" s="199" t="s">
        <v>4156</v>
      </c>
      <c r="C814" s="199" t="s">
        <v>34</v>
      </c>
      <c r="D814" s="199" t="s">
        <v>35</v>
      </c>
      <c r="E814" s="199">
        <v>7</v>
      </c>
      <c r="F814" s="199" t="s">
        <v>591</v>
      </c>
      <c r="G814" s="199" t="s">
        <v>4112</v>
      </c>
      <c r="H814" s="200">
        <v>118.79</v>
      </c>
      <c r="I814" s="199"/>
      <c r="J814" s="199"/>
      <c r="K814" s="199"/>
      <c r="L814" s="199"/>
      <c r="M814" s="199" t="s">
        <v>3320</v>
      </c>
    </row>
    <row r="815" spans="1:13" ht="99.75">
      <c r="A815" s="199">
        <v>814</v>
      </c>
      <c r="B815" s="199" t="s">
        <v>4157</v>
      </c>
      <c r="C815" s="199" t="s">
        <v>34</v>
      </c>
      <c r="D815" s="199" t="s">
        <v>35</v>
      </c>
      <c r="E815" s="199">
        <v>10</v>
      </c>
      <c r="F815" s="199" t="s">
        <v>591</v>
      </c>
      <c r="G815" s="199" t="s">
        <v>4112</v>
      </c>
      <c r="H815" s="200">
        <v>169.7</v>
      </c>
      <c r="I815" s="199"/>
      <c r="J815" s="199"/>
      <c r="K815" s="199"/>
      <c r="L815" s="199"/>
      <c r="M815" s="199" t="s">
        <v>3320</v>
      </c>
    </row>
    <row r="816" spans="1:13" ht="99.75">
      <c r="A816" s="199">
        <v>815</v>
      </c>
      <c r="B816" s="199" t="s">
        <v>4158</v>
      </c>
      <c r="C816" s="199" t="s">
        <v>34</v>
      </c>
      <c r="D816" s="199" t="s">
        <v>35</v>
      </c>
      <c r="E816" s="199">
        <v>10</v>
      </c>
      <c r="F816" s="199" t="s">
        <v>591</v>
      </c>
      <c r="G816" s="199" t="s">
        <v>4112</v>
      </c>
      <c r="H816" s="200">
        <v>169.7</v>
      </c>
      <c r="I816" s="199"/>
      <c r="J816" s="199"/>
      <c r="K816" s="199"/>
      <c r="L816" s="199"/>
      <c r="M816" s="199" t="s">
        <v>3320</v>
      </c>
    </row>
    <row r="817" spans="1:13" ht="99.75">
      <c r="A817" s="199">
        <v>816</v>
      </c>
      <c r="B817" s="199" t="s">
        <v>4159</v>
      </c>
      <c r="C817" s="199" t="s">
        <v>34</v>
      </c>
      <c r="D817" s="199" t="s">
        <v>35</v>
      </c>
      <c r="E817" s="199">
        <v>10</v>
      </c>
      <c r="F817" s="199" t="s">
        <v>591</v>
      </c>
      <c r="G817" s="199" t="s">
        <v>4112</v>
      </c>
      <c r="H817" s="200">
        <v>169.7</v>
      </c>
      <c r="I817" s="199"/>
      <c r="J817" s="199"/>
      <c r="K817" s="199"/>
      <c r="L817" s="199"/>
      <c r="M817" s="199" t="s">
        <v>3320</v>
      </c>
    </row>
    <row r="818" spans="1:13" ht="99.75">
      <c r="A818" s="199">
        <v>817</v>
      </c>
      <c r="B818" s="199" t="s">
        <v>4160</v>
      </c>
      <c r="C818" s="199" t="s">
        <v>34</v>
      </c>
      <c r="D818" s="199" t="s">
        <v>35</v>
      </c>
      <c r="E818" s="199">
        <v>10</v>
      </c>
      <c r="F818" s="199" t="s">
        <v>591</v>
      </c>
      <c r="G818" s="199" t="s">
        <v>4112</v>
      </c>
      <c r="H818" s="200">
        <v>169.7</v>
      </c>
      <c r="I818" s="199"/>
      <c r="J818" s="199"/>
      <c r="K818" s="199"/>
      <c r="L818" s="199"/>
      <c r="M818" s="199" t="s">
        <v>3320</v>
      </c>
    </row>
    <row r="819" spans="1:13" ht="99.75">
      <c r="A819" s="199">
        <v>818</v>
      </c>
      <c r="B819" s="199" t="s">
        <v>4161</v>
      </c>
      <c r="C819" s="199" t="s">
        <v>34</v>
      </c>
      <c r="D819" s="199" t="s">
        <v>35</v>
      </c>
      <c r="E819" s="199">
        <v>10</v>
      </c>
      <c r="F819" s="199" t="s">
        <v>591</v>
      </c>
      <c r="G819" s="199" t="s">
        <v>4112</v>
      </c>
      <c r="H819" s="200">
        <v>169.7</v>
      </c>
      <c r="I819" s="199"/>
      <c r="J819" s="199"/>
      <c r="K819" s="199"/>
      <c r="L819" s="199"/>
      <c r="M819" s="199" t="s">
        <v>3320</v>
      </c>
    </row>
    <row r="820" spans="1:13" ht="99.75">
      <c r="A820" s="199">
        <v>819</v>
      </c>
      <c r="B820" s="199" t="s">
        <v>4162</v>
      </c>
      <c r="C820" s="199" t="s">
        <v>34</v>
      </c>
      <c r="D820" s="199" t="s">
        <v>35</v>
      </c>
      <c r="E820" s="199">
        <v>10</v>
      </c>
      <c r="F820" s="199" t="s">
        <v>591</v>
      </c>
      <c r="G820" s="199" t="s">
        <v>4112</v>
      </c>
      <c r="H820" s="200">
        <v>169.7</v>
      </c>
      <c r="I820" s="199"/>
      <c r="J820" s="199"/>
      <c r="K820" s="199"/>
      <c r="L820" s="199"/>
      <c r="M820" s="199" t="s">
        <v>3320</v>
      </c>
    </row>
    <row r="821" spans="1:13" ht="99.75">
      <c r="A821" s="199">
        <v>820</v>
      </c>
      <c r="B821" s="199" t="s">
        <v>4163</v>
      </c>
      <c r="C821" s="199" t="s">
        <v>34</v>
      </c>
      <c r="D821" s="199" t="s">
        <v>35</v>
      </c>
      <c r="E821" s="199">
        <v>10</v>
      </c>
      <c r="F821" s="199" t="s">
        <v>591</v>
      </c>
      <c r="G821" s="199" t="s">
        <v>4112</v>
      </c>
      <c r="H821" s="200">
        <v>169.7</v>
      </c>
      <c r="I821" s="199"/>
      <c r="J821" s="199"/>
      <c r="K821" s="199"/>
      <c r="L821" s="199"/>
      <c r="M821" s="199" t="s">
        <v>3320</v>
      </c>
    </row>
    <row r="822" spans="1:13" ht="85.5">
      <c r="A822" s="199">
        <v>821</v>
      </c>
      <c r="B822" s="199" t="s">
        <v>4164</v>
      </c>
      <c r="C822" s="199" t="s">
        <v>34</v>
      </c>
      <c r="D822" s="199" t="s">
        <v>35</v>
      </c>
      <c r="E822" s="199">
        <v>10</v>
      </c>
      <c r="F822" s="199" t="s">
        <v>591</v>
      </c>
      <c r="G822" s="199" t="s">
        <v>4112</v>
      </c>
      <c r="H822" s="200">
        <v>169.7</v>
      </c>
      <c r="I822" s="199"/>
      <c r="J822" s="199"/>
      <c r="K822" s="199"/>
      <c r="L822" s="199"/>
      <c r="M822" s="199" t="s">
        <v>3320</v>
      </c>
    </row>
    <row r="823" spans="1:13" ht="99.75">
      <c r="A823" s="199">
        <v>822</v>
      </c>
      <c r="B823" s="199" t="s">
        <v>4165</v>
      </c>
      <c r="C823" s="199" t="s">
        <v>34</v>
      </c>
      <c r="D823" s="199" t="s">
        <v>35</v>
      </c>
      <c r="E823" s="199">
        <v>10</v>
      </c>
      <c r="F823" s="199" t="s">
        <v>591</v>
      </c>
      <c r="G823" s="199" t="s">
        <v>4112</v>
      </c>
      <c r="H823" s="200">
        <v>169.7</v>
      </c>
      <c r="I823" s="199"/>
      <c r="J823" s="199"/>
      <c r="K823" s="199"/>
      <c r="L823" s="199"/>
      <c r="M823" s="199" t="s">
        <v>3320</v>
      </c>
    </row>
    <row r="824" spans="1:13" ht="99.75">
      <c r="A824" s="199">
        <v>823</v>
      </c>
      <c r="B824" s="199" t="s">
        <v>4166</v>
      </c>
      <c r="C824" s="199" t="s">
        <v>34</v>
      </c>
      <c r="D824" s="199" t="s">
        <v>35</v>
      </c>
      <c r="E824" s="199">
        <v>10</v>
      </c>
      <c r="F824" s="199" t="s">
        <v>591</v>
      </c>
      <c r="G824" s="199" t="s">
        <v>4112</v>
      </c>
      <c r="H824" s="200">
        <v>169.7</v>
      </c>
      <c r="I824" s="199"/>
      <c r="J824" s="199"/>
      <c r="K824" s="199"/>
      <c r="L824" s="199"/>
      <c r="M824" s="199" t="s">
        <v>3320</v>
      </c>
    </row>
    <row r="825" spans="1:13" ht="57">
      <c r="A825" s="199">
        <v>824</v>
      </c>
      <c r="B825" s="199" t="s">
        <v>4167</v>
      </c>
      <c r="C825" s="199" t="s">
        <v>34</v>
      </c>
      <c r="D825" s="199" t="s">
        <v>35</v>
      </c>
      <c r="E825" s="199">
        <v>15</v>
      </c>
      <c r="F825" s="199" t="s">
        <v>756</v>
      </c>
      <c r="G825" s="199" t="s">
        <v>4112</v>
      </c>
      <c r="H825" s="200">
        <v>117.45</v>
      </c>
      <c r="I825" s="199"/>
      <c r="J825" s="199"/>
      <c r="K825" s="199"/>
      <c r="L825" s="199"/>
      <c r="M825" s="199" t="s">
        <v>3320</v>
      </c>
    </row>
    <row r="826" spans="1:13" ht="71.25">
      <c r="A826" s="199">
        <v>825</v>
      </c>
      <c r="B826" s="199" t="s">
        <v>4168</v>
      </c>
      <c r="C826" s="199" t="s">
        <v>34</v>
      </c>
      <c r="D826" s="199" t="s">
        <v>35</v>
      </c>
      <c r="E826" s="199">
        <v>5</v>
      </c>
      <c r="F826" s="199" t="s">
        <v>756</v>
      </c>
      <c r="G826" s="199" t="s">
        <v>4112</v>
      </c>
      <c r="H826" s="200">
        <v>39.15</v>
      </c>
      <c r="I826" s="199"/>
      <c r="J826" s="199"/>
      <c r="K826" s="199"/>
      <c r="L826" s="199"/>
      <c r="M826" s="199" t="s">
        <v>3320</v>
      </c>
    </row>
    <row r="827" spans="1:13" ht="57">
      <c r="A827" s="199">
        <v>826</v>
      </c>
      <c r="B827" s="199" t="s">
        <v>4169</v>
      </c>
      <c r="C827" s="199" t="s">
        <v>34</v>
      </c>
      <c r="D827" s="199" t="s">
        <v>35</v>
      </c>
      <c r="E827" s="199">
        <v>10</v>
      </c>
      <c r="F827" s="199" t="s">
        <v>756</v>
      </c>
      <c r="G827" s="199" t="s">
        <v>4112</v>
      </c>
      <c r="H827" s="200">
        <v>78.3</v>
      </c>
      <c r="I827" s="199"/>
      <c r="J827" s="199"/>
      <c r="K827" s="199"/>
      <c r="L827" s="199"/>
      <c r="M827" s="199" t="s">
        <v>3320</v>
      </c>
    </row>
    <row r="828" spans="1:13" ht="57">
      <c r="A828" s="199">
        <v>827</v>
      </c>
      <c r="B828" s="199" t="s">
        <v>4170</v>
      </c>
      <c r="C828" s="199" t="s">
        <v>34</v>
      </c>
      <c r="D828" s="199" t="s">
        <v>35</v>
      </c>
      <c r="E828" s="199">
        <v>8</v>
      </c>
      <c r="F828" s="199" t="s">
        <v>756</v>
      </c>
      <c r="G828" s="199" t="s">
        <v>4112</v>
      </c>
      <c r="H828" s="200">
        <v>75.2</v>
      </c>
      <c r="I828" s="199"/>
      <c r="J828" s="199"/>
      <c r="K828" s="199"/>
      <c r="L828" s="199"/>
      <c r="M828" s="199" t="s">
        <v>3320</v>
      </c>
    </row>
    <row r="829" spans="1:13" ht="71.25">
      <c r="A829" s="199">
        <v>828</v>
      </c>
      <c r="B829" s="199" t="s">
        <v>4171</v>
      </c>
      <c r="C829" s="199" t="s">
        <v>34</v>
      </c>
      <c r="D829" s="199" t="s">
        <v>35</v>
      </c>
      <c r="E829" s="199">
        <v>5</v>
      </c>
      <c r="F829" s="199" t="s">
        <v>756</v>
      </c>
      <c r="G829" s="199" t="s">
        <v>4112</v>
      </c>
      <c r="H829" s="200">
        <v>47</v>
      </c>
      <c r="I829" s="199"/>
      <c r="J829" s="199"/>
      <c r="K829" s="199"/>
      <c r="L829" s="199"/>
      <c r="M829" s="199" t="s">
        <v>3320</v>
      </c>
    </row>
    <row r="830" spans="1:13" ht="57">
      <c r="A830" s="199">
        <v>829</v>
      </c>
      <c r="B830" s="199" t="s">
        <v>4172</v>
      </c>
      <c r="C830" s="199" t="s">
        <v>34</v>
      </c>
      <c r="D830" s="199" t="s">
        <v>35</v>
      </c>
      <c r="E830" s="199">
        <v>5</v>
      </c>
      <c r="F830" s="199" t="s">
        <v>756</v>
      </c>
      <c r="G830" s="199" t="s">
        <v>4112</v>
      </c>
      <c r="H830" s="200">
        <v>47</v>
      </c>
      <c r="I830" s="199"/>
      <c r="J830" s="199"/>
      <c r="K830" s="199"/>
      <c r="L830" s="199"/>
      <c r="M830" s="199" t="s">
        <v>3320</v>
      </c>
    </row>
    <row r="831" spans="1:13" ht="57">
      <c r="A831" s="199">
        <v>830</v>
      </c>
      <c r="B831" s="199" t="s">
        <v>4173</v>
      </c>
      <c r="C831" s="199" t="s">
        <v>34</v>
      </c>
      <c r="D831" s="199" t="s">
        <v>35</v>
      </c>
      <c r="E831" s="199">
        <v>100</v>
      </c>
      <c r="F831" s="199" t="s">
        <v>8</v>
      </c>
      <c r="G831" s="199" t="s">
        <v>4112</v>
      </c>
      <c r="H831" s="200">
        <v>1500</v>
      </c>
      <c r="I831" s="199"/>
      <c r="J831" s="199"/>
      <c r="K831" s="199"/>
      <c r="L831" s="199"/>
      <c r="M831" s="199" t="s">
        <v>3320</v>
      </c>
    </row>
    <row r="832" spans="1:13" ht="57">
      <c r="A832" s="199">
        <v>831</v>
      </c>
      <c r="B832" s="199" t="s">
        <v>4174</v>
      </c>
      <c r="C832" s="199" t="s">
        <v>34</v>
      </c>
      <c r="D832" s="199" t="s">
        <v>35</v>
      </c>
      <c r="E832" s="199">
        <v>10</v>
      </c>
      <c r="F832" s="199" t="s">
        <v>8</v>
      </c>
      <c r="G832" s="199" t="s">
        <v>4112</v>
      </c>
      <c r="H832" s="200">
        <v>104.4</v>
      </c>
      <c r="I832" s="199"/>
      <c r="J832" s="199"/>
      <c r="K832" s="199"/>
      <c r="L832" s="199"/>
      <c r="M832" s="199" t="s">
        <v>3320</v>
      </c>
    </row>
    <row r="833" spans="1:13" ht="57">
      <c r="A833" s="199">
        <v>832</v>
      </c>
      <c r="B833" s="199" t="s">
        <v>4175</v>
      </c>
      <c r="C833" s="199" t="s">
        <v>34</v>
      </c>
      <c r="D833" s="199" t="s">
        <v>35</v>
      </c>
      <c r="E833" s="199">
        <v>150</v>
      </c>
      <c r="F833" s="199" t="s">
        <v>679</v>
      </c>
      <c r="G833" s="199" t="s">
        <v>4112</v>
      </c>
      <c r="H833" s="200">
        <v>600</v>
      </c>
      <c r="I833" s="199"/>
      <c r="J833" s="199"/>
      <c r="K833" s="199"/>
      <c r="L833" s="199"/>
      <c r="M833" s="199" t="s">
        <v>3320</v>
      </c>
    </row>
    <row r="834" spans="1:13" ht="57">
      <c r="A834" s="199">
        <v>833</v>
      </c>
      <c r="B834" s="199" t="s">
        <v>4176</v>
      </c>
      <c r="C834" s="199" t="s">
        <v>34</v>
      </c>
      <c r="D834" s="199" t="s">
        <v>35</v>
      </c>
      <c r="E834" s="199">
        <v>100</v>
      </c>
      <c r="F834" s="199" t="s">
        <v>679</v>
      </c>
      <c r="G834" s="199" t="s">
        <v>4112</v>
      </c>
      <c r="H834" s="200">
        <v>3000</v>
      </c>
      <c r="I834" s="199"/>
      <c r="J834" s="199"/>
      <c r="K834" s="199"/>
      <c r="L834" s="199"/>
      <c r="M834" s="199" t="s">
        <v>3320</v>
      </c>
    </row>
    <row r="835" spans="1:13" ht="57">
      <c r="A835" s="199">
        <v>834</v>
      </c>
      <c r="B835" s="199" t="s">
        <v>4177</v>
      </c>
      <c r="C835" s="199" t="s">
        <v>34</v>
      </c>
      <c r="D835" s="199" t="s">
        <v>35</v>
      </c>
      <c r="E835" s="199">
        <v>150</v>
      </c>
      <c r="F835" s="199" t="s">
        <v>679</v>
      </c>
      <c r="G835" s="199" t="s">
        <v>4112</v>
      </c>
      <c r="H835" s="200">
        <v>645</v>
      </c>
      <c r="I835" s="199"/>
      <c r="J835" s="199"/>
      <c r="K835" s="199"/>
      <c r="L835" s="199"/>
      <c r="M835" s="199" t="s">
        <v>3320</v>
      </c>
    </row>
    <row r="836" spans="1:13" ht="57">
      <c r="A836" s="199">
        <v>835</v>
      </c>
      <c r="B836" s="199" t="s">
        <v>4178</v>
      </c>
      <c r="C836" s="199" t="s">
        <v>34</v>
      </c>
      <c r="D836" s="199" t="s">
        <v>35</v>
      </c>
      <c r="E836" s="199">
        <v>150</v>
      </c>
      <c r="F836" s="199" t="s">
        <v>679</v>
      </c>
      <c r="G836" s="199" t="s">
        <v>4112</v>
      </c>
      <c r="H836" s="200">
        <v>630</v>
      </c>
      <c r="I836" s="199"/>
      <c r="J836" s="199"/>
      <c r="K836" s="199"/>
      <c r="L836" s="199"/>
      <c r="M836" s="199" t="s">
        <v>3320</v>
      </c>
    </row>
    <row r="837" spans="1:13" ht="57">
      <c r="A837" s="199">
        <v>836</v>
      </c>
      <c r="B837" s="199" t="s">
        <v>4179</v>
      </c>
      <c r="C837" s="199" t="s">
        <v>34</v>
      </c>
      <c r="D837" s="199" t="s">
        <v>35</v>
      </c>
      <c r="E837" s="199">
        <v>10</v>
      </c>
      <c r="F837" s="199" t="s">
        <v>8</v>
      </c>
      <c r="G837" s="199" t="s">
        <v>4112</v>
      </c>
      <c r="H837" s="200">
        <v>150</v>
      </c>
      <c r="I837" s="199"/>
      <c r="J837" s="199"/>
      <c r="K837" s="199"/>
      <c r="L837" s="199"/>
      <c r="M837" s="199" t="s">
        <v>3320</v>
      </c>
    </row>
    <row r="838" spans="1:13" ht="57">
      <c r="A838" s="199">
        <v>837</v>
      </c>
      <c r="B838" s="199" t="s">
        <v>4180</v>
      </c>
      <c r="C838" s="199" t="s">
        <v>34</v>
      </c>
      <c r="D838" s="199" t="s">
        <v>35</v>
      </c>
      <c r="E838" s="199">
        <v>200</v>
      </c>
      <c r="F838" s="199" t="s">
        <v>679</v>
      </c>
      <c r="G838" s="199" t="s">
        <v>4112</v>
      </c>
      <c r="H838" s="200">
        <v>1000</v>
      </c>
      <c r="I838" s="199"/>
      <c r="J838" s="199"/>
      <c r="K838" s="199"/>
      <c r="L838" s="199"/>
      <c r="M838" s="199" t="s">
        <v>3320</v>
      </c>
    </row>
    <row r="839" spans="1:13" ht="57">
      <c r="A839" s="199">
        <v>838</v>
      </c>
      <c r="B839" s="199" t="s">
        <v>1623</v>
      </c>
      <c r="C839" s="199" t="s">
        <v>34</v>
      </c>
      <c r="D839" s="199" t="s">
        <v>35</v>
      </c>
      <c r="E839" s="199">
        <v>60</v>
      </c>
      <c r="F839" s="199" t="s">
        <v>8</v>
      </c>
      <c r="G839" s="199" t="s">
        <v>4112</v>
      </c>
      <c r="H839" s="200">
        <v>234</v>
      </c>
      <c r="I839" s="199"/>
      <c r="J839" s="199"/>
      <c r="K839" s="199"/>
      <c r="L839" s="199"/>
      <c r="M839" s="199" t="s">
        <v>3320</v>
      </c>
    </row>
    <row r="840" spans="1:13" ht="71.25">
      <c r="A840" s="199">
        <v>839</v>
      </c>
      <c r="B840" s="199" t="s">
        <v>4181</v>
      </c>
      <c r="C840" s="199" t="s">
        <v>34</v>
      </c>
      <c r="D840" s="199" t="s">
        <v>35</v>
      </c>
      <c r="E840" s="199">
        <v>200</v>
      </c>
      <c r="F840" s="199" t="s">
        <v>8</v>
      </c>
      <c r="G840" s="199" t="s">
        <v>4112</v>
      </c>
      <c r="H840" s="200">
        <v>420</v>
      </c>
      <c r="I840" s="199"/>
      <c r="J840" s="199"/>
      <c r="K840" s="199"/>
      <c r="L840" s="199"/>
      <c r="M840" s="199" t="s">
        <v>3320</v>
      </c>
    </row>
    <row r="841" spans="1:13" ht="57">
      <c r="A841" s="199">
        <v>840</v>
      </c>
      <c r="B841" s="199" t="s">
        <v>4182</v>
      </c>
      <c r="C841" s="199" t="s">
        <v>34</v>
      </c>
      <c r="D841" s="199" t="s">
        <v>35</v>
      </c>
      <c r="E841" s="199">
        <v>10</v>
      </c>
      <c r="F841" s="199" t="s">
        <v>591</v>
      </c>
      <c r="G841" s="199" t="s">
        <v>4112</v>
      </c>
      <c r="H841" s="200">
        <v>345</v>
      </c>
      <c r="I841" s="199"/>
      <c r="J841" s="199"/>
      <c r="K841" s="199"/>
      <c r="L841" s="199"/>
      <c r="M841" s="199" t="s">
        <v>3320</v>
      </c>
    </row>
    <row r="842" spans="1:13" ht="57">
      <c r="A842" s="199">
        <v>841</v>
      </c>
      <c r="B842" s="199" t="s">
        <v>4183</v>
      </c>
      <c r="C842" s="199" t="s">
        <v>34</v>
      </c>
      <c r="D842" s="199" t="s">
        <v>35</v>
      </c>
      <c r="E842" s="199">
        <v>2</v>
      </c>
      <c r="F842" s="199" t="s">
        <v>8</v>
      </c>
      <c r="G842" s="199" t="s">
        <v>4112</v>
      </c>
      <c r="H842" s="200">
        <v>300</v>
      </c>
      <c r="I842" s="199"/>
      <c r="J842" s="199"/>
      <c r="K842" s="199"/>
      <c r="L842" s="199"/>
      <c r="M842" s="199" t="s">
        <v>3320</v>
      </c>
    </row>
    <row r="843" spans="1:13" ht="71.25">
      <c r="A843" s="199">
        <v>842</v>
      </c>
      <c r="B843" s="199" t="s">
        <v>4184</v>
      </c>
      <c r="C843" s="199" t="s">
        <v>34</v>
      </c>
      <c r="D843" s="199" t="s">
        <v>35</v>
      </c>
      <c r="E843" s="199">
        <v>50</v>
      </c>
      <c r="F843" s="199" t="s">
        <v>8</v>
      </c>
      <c r="G843" s="199" t="s">
        <v>4112</v>
      </c>
      <c r="H843" s="200">
        <v>7830</v>
      </c>
      <c r="I843" s="199"/>
      <c r="J843" s="199"/>
      <c r="K843" s="199"/>
      <c r="L843" s="199"/>
      <c r="M843" s="199" t="s">
        <v>3320</v>
      </c>
    </row>
    <row r="844" spans="1:13" ht="57">
      <c r="A844" s="199">
        <v>843</v>
      </c>
      <c r="B844" s="199" t="s">
        <v>4185</v>
      </c>
      <c r="C844" s="199" t="s">
        <v>34</v>
      </c>
      <c r="D844" s="199" t="s">
        <v>35</v>
      </c>
      <c r="E844" s="199">
        <v>100</v>
      </c>
      <c r="F844" s="199" t="s">
        <v>756</v>
      </c>
      <c r="G844" s="199" t="s">
        <v>4112</v>
      </c>
      <c r="H844" s="200">
        <v>5500</v>
      </c>
      <c r="I844" s="199"/>
      <c r="J844" s="199"/>
      <c r="K844" s="199"/>
      <c r="L844" s="199"/>
      <c r="M844" s="199" t="s">
        <v>3320</v>
      </c>
    </row>
    <row r="845" spans="1:13" ht="57">
      <c r="A845" s="199">
        <v>844</v>
      </c>
      <c r="B845" s="199" t="s">
        <v>4186</v>
      </c>
      <c r="C845" s="199" t="s">
        <v>34</v>
      </c>
      <c r="D845" s="199" t="s">
        <v>35</v>
      </c>
      <c r="E845" s="199">
        <v>50</v>
      </c>
      <c r="F845" s="199" t="s">
        <v>679</v>
      </c>
      <c r="G845" s="199" t="s">
        <v>4112</v>
      </c>
      <c r="H845" s="200">
        <v>300</v>
      </c>
      <c r="I845" s="199"/>
      <c r="J845" s="199"/>
      <c r="K845" s="199"/>
      <c r="L845" s="199"/>
      <c r="M845" s="199" t="s">
        <v>3320</v>
      </c>
    </row>
    <row r="846" spans="1:13" ht="57">
      <c r="A846" s="199">
        <v>845</v>
      </c>
      <c r="B846" s="199" t="s">
        <v>4187</v>
      </c>
      <c r="C846" s="199" t="s">
        <v>34</v>
      </c>
      <c r="D846" s="199" t="s">
        <v>35</v>
      </c>
      <c r="E846" s="199">
        <v>50</v>
      </c>
      <c r="F846" s="199" t="s">
        <v>679</v>
      </c>
      <c r="G846" s="199" t="s">
        <v>4112</v>
      </c>
      <c r="H846" s="200">
        <v>3350</v>
      </c>
      <c r="I846" s="199"/>
      <c r="J846" s="199"/>
      <c r="K846" s="199"/>
      <c r="L846" s="199"/>
      <c r="M846" s="199" t="s">
        <v>3320</v>
      </c>
    </row>
    <row r="847" spans="1:13" ht="57">
      <c r="A847" s="199">
        <v>846</v>
      </c>
      <c r="B847" s="199" t="s">
        <v>4188</v>
      </c>
      <c r="C847" s="199" t="s">
        <v>34</v>
      </c>
      <c r="D847" s="199" t="s">
        <v>35</v>
      </c>
      <c r="E847" s="199">
        <v>400</v>
      </c>
      <c r="F847" s="199" t="s">
        <v>679</v>
      </c>
      <c r="G847" s="199" t="s">
        <v>4112</v>
      </c>
      <c r="H847" s="200">
        <v>5000</v>
      </c>
      <c r="I847" s="199"/>
      <c r="J847" s="199"/>
      <c r="K847" s="199"/>
      <c r="L847" s="199"/>
      <c r="M847" s="199" t="s">
        <v>3320</v>
      </c>
    </row>
    <row r="848" spans="1:13" ht="57">
      <c r="A848" s="199">
        <v>847</v>
      </c>
      <c r="B848" s="199" t="s">
        <v>4189</v>
      </c>
      <c r="C848" s="199" t="s">
        <v>34</v>
      </c>
      <c r="D848" s="199" t="s">
        <v>35</v>
      </c>
      <c r="E848" s="199">
        <v>200</v>
      </c>
      <c r="F848" s="199" t="s">
        <v>679</v>
      </c>
      <c r="G848" s="199" t="s">
        <v>4112</v>
      </c>
      <c r="H848" s="200">
        <v>4000</v>
      </c>
      <c r="I848" s="199"/>
      <c r="J848" s="199"/>
      <c r="K848" s="199"/>
      <c r="L848" s="199"/>
      <c r="M848" s="199" t="s">
        <v>3320</v>
      </c>
    </row>
    <row r="849" spans="1:13" ht="57">
      <c r="A849" s="199">
        <v>848</v>
      </c>
      <c r="B849" s="199" t="s">
        <v>383</v>
      </c>
      <c r="C849" s="199" t="s">
        <v>34</v>
      </c>
      <c r="D849" s="199" t="s">
        <v>35</v>
      </c>
      <c r="E849" s="199">
        <v>200</v>
      </c>
      <c r="F849" s="199" t="s">
        <v>8</v>
      </c>
      <c r="G849" s="199" t="s">
        <v>4112</v>
      </c>
      <c r="H849" s="200">
        <v>11000</v>
      </c>
      <c r="I849" s="199"/>
      <c r="J849" s="199"/>
      <c r="K849" s="199"/>
      <c r="L849" s="199"/>
      <c r="M849" s="199" t="s">
        <v>3320</v>
      </c>
    </row>
    <row r="850" spans="1:13" ht="57">
      <c r="A850" s="199">
        <v>849</v>
      </c>
      <c r="B850" s="199" t="s">
        <v>4190</v>
      </c>
      <c r="C850" s="199" t="s">
        <v>34</v>
      </c>
      <c r="D850" s="199" t="s">
        <v>35</v>
      </c>
      <c r="E850" s="199">
        <v>200</v>
      </c>
      <c r="F850" s="199" t="s">
        <v>2865</v>
      </c>
      <c r="G850" s="199" t="s">
        <v>4112</v>
      </c>
      <c r="H850" s="200">
        <v>2088</v>
      </c>
      <c r="I850" s="199"/>
      <c r="J850" s="199"/>
      <c r="K850" s="199"/>
      <c r="L850" s="199"/>
      <c r="M850" s="199" t="s">
        <v>3320</v>
      </c>
    </row>
    <row r="851" spans="1:13" ht="57">
      <c r="A851" s="199">
        <v>850</v>
      </c>
      <c r="B851" s="199" t="s">
        <v>4191</v>
      </c>
      <c r="C851" s="199" t="s">
        <v>34</v>
      </c>
      <c r="D851" s="199" t="s">
        <v>35</v>
      </c>
      <c r="E851" s="199">
        <v>100</v>
      </c>
      <c r="F851" s="199" t="s">
        <v>756</v>
      </c>
      <c r="G851" s="199" t="s">
        <v>4112</v>
      </c>
      <c r="H851" s="200">
        <v>1900</v>
      </c>
      <c r="I851" s="199"/>
      <c r="J851" s="199"/>
      <c r="K851" s="199"/>
      <c r="L851" s="199"/>
      <c r="M851" s="199" t="s">
        <v>3320</v>
      </c>
    </row>
    <row r="852" spans="1:13" ht="57">
      <c r="A852" s="199">
        <v>851</v>
      </c>
      <c r="B852" s="199" t="s">
        <v>4192</v>
      </c>
      <c r="C852" s="199" t="s">
        <v>34</v>
      </c>
      <c r="D852" s="199" t="s">
        <v>35</v>
      </c>
      <c r="E852" s="199">
        <v>300</v>
      </c>
      <c r="F852" s="199" t="s">
        <v>756</v>
      </c>
      <c r="G852" s="199" t="s">
        <v>4112</v>
      </c>
      <c r="H852" s="200">
        <v>1566</v>
      </c>
      <c r="I852" s="199"/>
      <c r="J852" s="199"/>
      <c r="K852" s="199"/>
      <c r="L852" s="199"/>
      <c r="M852" s="199" t="s">
        <v>3320</v>
      </c>
    </row>
    <row r="853" spans="1:13" ht="57">
      <c r="A853" s="199">
        <v>852</v>
      </c>
      <c r="B853" s="199" t="s">
        <v>4193</v>
      </c>
      <c r="C853" s="199" t="s">
        <v>34</v>
      </c>
      <c r="D853" s="199" t="s">
        <v>35</v>
      </c>
      <c r="E853" s="199">
        <v>600</v>
      </c>
      <c r="F853" s="199" t="s">
        <v>756</v>
      </c>
      <c r="G853" s="199" t="s">
        <v>4112</v>
      </c>
      <c r="H853" s="200">
        <v>2352</v>
      </c>
      <c r="I853" s="199"/>
      <c r="J853" s="199"/>
      <c r="K853" s="199"/>
      <c r="L853" s="199"/>
      <c r="M853" s="199" t="s">
        <v>3320</v>
      </c>
    </row>
    <row r="854" spans="1:13" ht="71.25">
      <c r="A854" s="199">
        <v>853</v>
      </c>
      <c r="B854" s="199" t="s">
        <v>4194</v>
      </c>
      <c r="C854" s="199" t="s">
        <v>34</v>
      </c>
      <c r="D854" s="199" t="s">
        <v>35</v>
      </c>
      <c r="E854" s="199">
        <v>200</v>
      </c>
      <c r="F854" s="199" t="s">
        <v>756</v>
      </c>
      <c r="G854" s="199" t="s">
        <v>4112</v>
      </c>
      <c r="H854" s="200">
        <v>2200</v>
      </c>
      <c r="I854" s="199"/>
      <c r="J854" s="199"/>
      <c r="K854" s="199"/>
      <c r="L854" s="199"/>
      <c r="M854" s="199" t="s">
        <v>3320</v>
      </c>
    </row>
    <row r="855" spans="1:13" ht="71.25">
      <c r="A855" s="199">
        <v>854</v>
      </c>
      <c r="B855" s="199" t="s">
        <v>4195</v>
      </c>
      <c r="C855" s="199" t="s">
        <v>34</v>
      </c>
      <c r="D855" s="199" t="s">
        <v>35</v>
      </c>
      <c r="E855" s="199">
        <v>100</v>
      </c>
      <c r="F855" s="199" t="s">
        <v>756</v>
      </c>
      <c r="G855" s="199" t="s">
        <v>4112</v>
      </c>
      <c r="H855" s="200">
        <v>700</v>
      </c>
      <c r="I855" s="199"/>
      <c r="J855" s="199"/>
      <c r="K855" s="199"/>
      <c r="L855" s="199"/>
      <c r="M855" s="199" t="s">
        <v>3320</v>
      </c>
    </row>
    <row r="856" spans="1:13" ht="99.75">
      <c r="A856" s="199">
        <v>855</v>
      </c>
      <c r="B856" s="199" t="s">
        <v>4196</v>
      </c>
      <c r="C856" s="199" t="s">
        <v>34</v>
      </c>
      <c r="D856" s="199" t="s">
        <v>35</v>
      </c>
      <c r="E856" s="199">
        <v>20</v>
      </c>
      <c r="F856" s="199" t="s">
        <v>756</v>
      </c>
      <c r="G856" s="199" t="s">
        <v>4112</v>
      </c>
      <c r="H856" s="200">
        <v>5200</v>
      </c>
      <c r="I856" s="199"/>
      <c r="J856" s="199"/>
      <c r="K856" s="199"/>
      <c r="L856" s="199"/>
      <c r="M856" s="199" t="s">
        <v>3320</v>
      </c>
    </row>
    <row r="857" spans="1:13" ht="114">
      <c r="A857" s="199">
        <v>856</v>
      </c>
      <c r="B857" s="199" t="s">
        <v>4197</v>
      </c>
      <c r="C857" s="199" t="s">
        <v>34</v>
      </c>
      <c r="D857" s="199" t="s">
        <v>35</v>
      </c>
      <c r="E857" s="199">
        <v>50</v>
      </c>
      <c r="F857" s="199" t="s">
        <v>756</v>
      </c>
      <c r="G857" s="199" t="s">
        <v>4112</v>
      </c>
      <c r="H857" s="200">
        <v>3262.5</v>
      </c>
      <c r="I857" s="199"/>
      <c r="J857" s="199"/>
      <c r="K857" s="199"/>
      <c r="L857" s="199"/>
      <c r="M857" s="199" t="s">
        <v>3320</v>
      </c>
    </row>
    <row r="858" spans="1:13" ht="57">
      <c r="A858" s="199">
        <v>857</v>
      </c>
      <c r="B858" s="199" t="s">
        <v>4198</v>
      </c>
      <c r="C858" s="199" t="s">
        <v>34</v>
      </c>
      <c r="D858" s="199" t="s">
        <v>35</v>
      </c>
      <c r="E858" s="199">
        <v>100</v>
      </c>
      <c r="F858" s="199" t="s">
        <v>8</v>
      </c>
      <c r="G858" s="199" t="s">
        <v>4112</v>
      </c>
      <c r="H858" s="200">
        <v>6300</v>
      </c>
      <c r="I858" s="199"/>
      <c r="J858" s="199"/>
      <c r="K858" s="199"/>
      <c r="L858" s="199"/>
      <c r="M858" s="199" t="s">
        <v>3320</v>
      </c>
    </row>
    <row r="859" spans="1:13" ht="57">
      <c r="A859" s="199">
        <v>858</v>
      </c>
      <c r="B859" s="199" t="s">
        <v>4199</v>
      </c>
      <c r="C859" s="199" t="s">
        <v>34</v>
      </c>
      <c r="D859" s="199" t="s">
        <v>35</v>
      </c>
      <c r="E859" s="199">
        <v>50</v>
      </c>
      <c r="F859" s="199" t="s">
        <v>8</v>
      </c>
      <c r="G859" s="199" t="s">
        <v>4112</v>
      </c>
      <c r="H859" s="200">
        <v>950</v>
      </c>
      <c r="I859" s="199"/>
      <c r="J859" s="199"/>
      <c r="K859" s="199"/>
      <c r="L859" s="199"/>
      <c r="M859" s="199" t="s">
        <v>3320</v>
      </c>
    </row>
    <row r="860" spans="1:13" ht="114">
      <c r="A860" s="199">
        <v>859</v>
      </c>
      <c r="B860" s="199" t="s">
        <v>4200</v>
      </c>
      <c r="C860" s="199" t="s">
        <v>34</v>
      </c>
      <c r="D860" s="199" t="s">
        <v>35</v>
      </c>
      <c r="E860" s="199">
        <v>5</v>
      </c>
      <c r="F860" s="199" t="s">
        <v>8</v>
      </c>
      <c r="G860" s="199" t="s">
        <v>4112</v>
      </c>
      <c r="H860" s="200">
        <v>1575</v>
      </c>
      <c r="I860" s="199"/>
      <c r="J860" s="199"/>
      <c r="K860" s="199"/>
      <c r="L860" s="199"/>
      <c r="M860" s="199" t="s">
        <v>3320</v>
      </c>
    </row>
    <row r="861" spans="1:13" ht="57">
      <c r="A861" s="199">
        <v>860</v>
      </c>
      <c r="B861" s="199" t="s">
        <v>4201</v>
      </c>
      <c r="C861" s="199" t="s">
        <v>34</v>
      </c>
      <c r="D861" s="199" t="s">
        <v>35</v>
      </c>
      <c r="E861" s="199">
        <v>10</v>
      </c>
      <c r="F861" s="199" t="s">
        <v>591</v>
      </c>
      <c r="G861" s="199" t="s">
        <v>4112</v>
      </c>
      <c r="H861" s="200">
        <v>170</v>
      </c>
      <c r="I861" s="199"/>
      <c r="J861" s="199"/>
      <c r="K861" s="199"/>
      <c r="L861" s="199"/>
      <c r="M861" s="199" t="s">
        <v>3320</v>
      </c>
    </row>
    <row r="862" spans="1:13" ht="128.25">
      <c r="A862" s="199">
        <v>861</v>
      </c>
      <c r="B862" s="199" t="s">
        <v>4202</v>
      </c>
      <c r="C862" s="199" t="s">
        <v>34</v>
      </c>
      <c r="D862" s="199" t="s">
        <v>35</v>
      </c>
      <c r="E862" s="199">
        <v>3200</v>
      </c>
      <c r="F862" s="199" t="s">
        <v>8</v>
      </c>
      <c r="G862" s="199" t="s">
        <v>4112</v>
      </c>
      <c r="H862" s="200">
        <v>6400</v>
      </c>
      <c r="I862" s="199"/>
      <c r="J862" s="199"/>
      <c r="K862" s="199"/>
      <c r="L862" s="199"/>
      <c r="M862" s="199" t="s">
        <v>3320</v>
      </c>
    </row>
    <row r="863" spans="1:13" ht="57">
      <c r="A863" s="199">
        <v>862</v>
      </c>
      <c r="B863" s="199" t="s">
        <v>4203</v>
      </c>
      <c r="C863" s="199" t="s">
        <v>34</v>
      </c>
      <c r="D863" s="199" t="s">
        <v>35</v>
      </c>
      <c r="E863" s="199">
        <v>1320</v>
      </c>
      <c r="F863" s="199" t="s">
        <v>756</v>
      </c>
      <c r="G863" s="199" t="s">
        <v>4112</v>
      </c>
      <c r="H863" s="200">
        <v>2772</v>
      </c>
      <c r="I863" s="199"/>
      <c r="J863" s="199"/>
      <c r="K863" s="199"/>
      <c r="L863" s="199"/>
      <c r="M863" s="199" t="s">
        <v>3320</v>
      </c>
    </row>
    <row r="864" spans="1:13" ht="57">
      <c r="A864" s="199">
        <v>863</v>
      </c>
      <c r="B864" s="199" t="s">
        <v>4204</v>
      </c>
      <c r="C864" s="199" t="s">
        <v>34</v>
      </c>
      <c r="D864" s="199" t="s">
        <v>35</v>
      </c>
      <c r="E864" s="199">
        <v>150</v>
      </c>
      <c r="F864" s="199" t="s">
        <v>756</v>
      </c>
      <c r="G864" s="199" t="s">
        <v>4112</v>
      </c>
      <c r="H864" s="200">
        <v>225</v>
      </c>
      <c r="I864" s="199"/>
      <c r="J864" s="199"/>
      <c r="K864" s="199"/>
      <c r="L864" s="199"/>
      <c r="M864" s="199" t="s">
        <v>3320</v>
      </c>
    </row>
    <row r="865" spans="1:13" ht="57">
      <c r="A865" s="199">
        <v>864</v>
      </c>
      <c r="B865" s="199" t="s">
        <v>4205</v>
      </c>
      <c r="C865" s="199" t="s">
        <v>34</v>
      </c>
      <c r="D865" s="199" t="s">
        <v>35</v>
      </c>
      <c r="E865" s="199">
        <v>150</v>
      </c>
      <c r="F865" s="199" t="s">
        <v>756</v>
      </c>
      <c r="G865" s="199" t="s">
        <v>4112</v>
      </c>
      <c r="H865" s="200">
        <v>225</v>
      </c>
      <c r="I865" s="199"/>
      <c r="J865" s="199"/>
      <c r="K865" s="199"/>
      <c r="L865" s="199"/>
      <c r="M865" s="199" t="s">
        <v>3320</v>
      </c>
    </row>
    <row r="866" spans="1:13" ht="57">
      <c r="A866" s="199">
        <v>865</v>
      </c>
      <c r="B866" s="199" t="s">
        <v>4206</v>
      </c>
      <c r="C866" s="199" t="s">
        <v>34</v>
      </c>
      <c r="D866" s="199" t="s">
        <v>35</v>
      </c>
      <c r="E866" s="199">
        <v>150</v>
      </c>
      <c r="F866" s="199" t="s">
        <v>756</v>
      </c>
      <c r="G866" s="199" t="s">
        <v>4112</v>
      </c>
      <c r="H866" s="200">
        <v>225</v>
      </c>
      <c r="I866" s="199"/>
      <c r="J866" s="199"/>
      <c r="K866" s="199"/>
      <c r="L866" s="199"/>
      <c r="M866" s="199" t="s">
        <v>3320</v>
      </c>
    </row>
    <row r="867" spans="1:13" ht="71.25">
      <c r="A867" s="199">
        <v>866</v>
      </c>
      <c r="B867" s="199" t="s">
        <v>4207</v>
      </c>
      <c r="C867" s="199" t="s">
        <v>34</v>
      </c>
      <c r="D867" s="199" t="s">
        <v>35</v>
      </c>
      <c r="E867" s="199">
        <v>150</v>
      </c>
      <c r="F867" s="199" t="s">
        <v>756</v>
      </c>
      <c r="G867" s="199" t="s">
        <v>4112</v>
      </c>
      <c r="H867" s="200">
        <v>225</v>
      </c>
      <c r="I867" s="199"/>
      <c r="J867" s="199"/>
      <c r="K867" s="199"/>
      <c r="L867" s="199"/>
      <c r="M867" s="199" t="s">
        <v>3320</v>
      </c>
    </row>
    <row r="868" spans="1:13" ht="71.25">
      <c r="A868" s="199">
        <v>867</v>
      </c>
      <c r="B868" s="199" t="s">
        <v>4208</v>
      </c>
      <c r="C868" s="199" t="s">
        <v>34</v>
      </c>
      <c r="D868" s="199" t="s">
        <v>35</v>
      </c>
      <c r="E868" s="199">
        <v>150</v>
      </c>
      <c r="F868" s="199" t="s">
        <v>756</v>
      </c>
      <c r="G868" s="199" t="s">
        <v>4112</v>
      </c>
      <c r="H868" s="200">
        <v>225</v>
      </c>
      <c r="I868" s="199"/>
      <c r="J868" s="199"/>
      <c r="K868" s="199"/>
      <c r="L868" s="199"/>
      <c r="M868" s="199" t="s">
        <v>3320</v>
      </c>
    </row>
    <row r="869" spans="1:13" ht="71.25">
      <c r="A869" s="199">
        <v>868</v>
      </c>
      <c r="B869" s="199" t="s">
        <v>4209</v>
      </c>
      <c r="C869" s="199" t="s">
        <v>34</v>
      </c>
      <c r="D869" s="199" t="s">
        <v>35</v>
      </c>
      <c r="E869" s="199">
        <v>150</v>
      </c>
      <c r="F869" s="199" t="s">
        <v>756</v>
      </c>
      <c r="G869" s="199" t="s">
        <v>4112</v>
      </c>
      <c r="H869" s="200">
        <v>225</v>
      </c>
      <c r="I869" s="199"/>
      <c r="J869" s="199"/>
      <c r="K869" s="199"/>
      <c r="L869" s="199"/>
      <c r="M869" s="199" t="s">
        <v>3320</v>
      </c>
    </row>
    <row r="870" spans="1:13" ht="57">
      <c r="A870" s="199">
        <v>869</v>
      </c>
      <c r="B870" s="199" t="s">
        <v>4210</v>
      </c>
      <c r="C870" s="199" t="s">
        <v>34</v>
      </c>
      <c r="D870" s="199" t="s">
        <v>35</v>
      </c>
      <c r="E870" s="199">
        <v>150</v>
      </c>
      <c r="F870" s="199" t="s">
        <v>756</v>
      </c>
      <c r="G870" s="199" t="s">
        <v>4112</v>
      </c>
      <c r="H870" s="200">
        <v>225</v>
      </c>
      <c r="I870" s="199"/>
      <c r="J870" s="199"/>
      <c r="K870" s="199"/>
      <c r="L870" s="199"/>
      <c r="M870" s="199" t="s">
        <v>3320</v>
      </c>
    </row>
    <row r="871" spans="1:13" ht="57">
      <c r="A871" s="199">
        <v>870</v>
      </c>
      <c r="B871" s="199" t="s">
        <v>4211</v>
      </c>
      <c r="C871" s="199" t="s">
        <v>34</v>
      </c>
      <c r="D871" s="199" t="s">
        <v>35</v>
      </c>
      <c r="E871" s="199">
        <v>150</v>
      </c>
      <c r="F871" s="199" t="s">
        <v>756</v>
      </c>
      <c r="G871" s="199" t="s">
        <v>4112</v>
      </c>
      <c r="H871" s="200">
        <v>225</v>
      </c>
      <c r="I871" s="199"/>
      <c r="J871" s="199"/>
      <c r="K871" s="199"/>
      <c r="L871" s="199"/>
      <c r="M871" s="199" t="s">
        <v>3320</v>
      </c>
    </row>
    <row r="872" spans="1:13" ht="57">
      <c r="A872" s="199">
        <v>871</v>
      </c>
      <c r="B872" s="199" t="s">
        <v>4212</v>
      </c>
      <c r="C872" s="199" t="s">
        <v>34</v>
      </c>
      <c r="D872" s="199" t="s">
        <v>35</v>
      </c>
      <c r="E872" s="199">
        <v>150</v>
      </c>
      <c r="F872" s="199" t="s">
        <v>756</v>
      </c>
      <c r="G872" s="199" t="s">
        <v>4112</v>
      </c>
      <c r="H872" s="200">
        <v>225</v>
      </c>
      <c r="I872" s="199"/>
      <c r="J872" s="199"/>
      <c r="K872" s="199"/>
      <c r="L872" s="199"/>
      <c r="M872" s="199" t="s">
        <v>3320</v>
      </c>
    </row>
    <row r="873" spans="1:13" ht="57">
      <c r="A873" s="199">
        <v>872</v>
      </c>
      <c r="B873" s="199" t="s">
        <v>4213</v>
      </c>
      <c r="C873" s="199" t="s">
        <v>34</v>
      </c>
      <c r="D873" s="199" t="s">
        <v>35</v>
      </c>
      <c r="E873" s="199">
        <v>150</v>
      </c>
      <c r="F873" s="199" t="s">
        <v>756</v>
      </c>
      <c r="G873" s="199" t="s">
        <v>4112</v>
      </c>
      <c r="H873" s="200">
        <v>225</v>
      </c>
      <c r="I873" s="199"/>
      <c r="J873" s="199"/>
      <c r="K873" s="199"/>
      <c r="L873" s="199"/>
      <c r="M873" s="199" t="s">
        <v>3320</v>
      </c>
    </row>
    <row r="874" spans="1:13" ht="71.25">
      <c r="A874" s="199">
        <v>873</v>
      </c>
      <c r="B874" s="199" t="s">
        <v>4214</v>
      </c>
      <c r="C874" s="199" t="s">
        <v>34</v>
      </c>
      <c r="D874" s="199" t="s">
        <v>35</v>
      </c>
      <c r="E874" s="199">
        <v>150</v>
      </c>
      <c r="F874" s="199" t="s">
        <v>756</v>
      </c>
      <c r="G874" s="199" t="s">
        <v>4112</v>
      </c>
      <c r="H874" s="200">
        <v>225</v>
      </c>
      <c r="I874" s="199"/>
      <c r="J874" s="199"/>
      <c r="K874" s="199"/>
      <c r="L874" s="199"/>
      <c r="M874" s="199" t="s">
        <v>3320</v>
      </c>
    </row>
    <row r="875" spans="1:13" ht="57">
      <c r="A875" s="199">
        <v>874</v>
      </c>
      <c r="B875" s="199" t="s">
        <v>4215</v>
      </c>
      <c r="C875" s="199" t="s">
        <v>34</v>
      </c>
      <c r="D875" s="199" t="s">
        <v>35</v>
      </c>
      <c r="E875" s="199">
        <v>150</v>
      </c>
      <c r="F875" s="199" t="s">
        <v>756</v>
      </c>
      <c r="G875" s="199" t="s">
        <v>4112</v>
      </c>
      <c r="H875" s="200">
        <v>225</v>
      </c>
      <c r="I875" s="199"/>
      <c r="J875" s="199"/>
      <c r="K875" s="199"/>
      <c r="L875" s="199"/>
      <c r="M875" s="199" t="s">
        <v>3320</v>
      </c>
    </row>
    <row r="876" spans="1:13" ht="57">
      <c r="A876" s="199">
        <v>875</v>
      </c>
      <c r="B876" s="199" t="s">
        <v>4216</v>
      </c>
      <c r="C876" s="199" t="s">
        <v>34</v>
      </c>
      <c r="D876" s="199" t="s">
        <v>35</v>
      </c>
      <c r="E876" s="199">
        <v>500</v>
      </c>
      <c r="F876" s="199" t="s">
        <v>756</v>
      </c>
      <c r="G876" s="199" t="s">
        <v>4112</v>
      </c>
      <c r="H876" s="200">
        <v>1650</v>
      </c>
      <c r="I876" s="199"/>
      <c r="J876" s="199"/>
      <c r="K876" s="199"/>
      <c r="L876" s="199"/>
      <c r="M876" s="199" t="s">
        <v>3320</v>
      </c>
    </row>
    <row r="877" spans="1:13" ht="57">
      <c r="A877" s="199">
        <v>876</v>
      </c>
      <c r="B877" s="199" t="s">
        <v>4217</v>
      </c>
      <c r="C877" s="199" t="s">
        <v>34</v>
      </c>
      <c r="D877" s="199" t="s">
        <v>35</v>
      </c>
      <c r="E877" s="199">
        <v>500</v>
      </c>
      <c r="F877" s="199" t="s">
        <v>756</v>
      </c>
      <c r="G877" s="199" t="s">
        <v>4112</v>
      </c>
      <c r="H877" s="200">
        <v>1650</v>
      </c>
      <c r="I877" s="199"/>
      <c r="J877" s="199"/>
      <c r="K877" s="199"/>
      <c r="L877" s="199"/>
      <c r="M877" s="199" t="s">
        <v>3320</v>
      </c>
    </row>
    <row r="878" spans="1:13" ht="57">
      <c r="A878" s="199">
        <v>877</v>
      </c>
      <c r="B878" s="199" t="s">
        <v>4218</v>
      </c>
      <c r="C878" s="199" t="s">
        <v>34</v>
      </c>
      <c r="D878" s="199" t="s">
        <v>35</v>
      </c>
      <c r="E878" s="199">
        <v>500</v>
      </c>
      <c r="F878" s="199" t="s">
        <v>756</v>
      </c>
      <c r="G878" s="199" t="s">
        <v>4112</v>
      </c>
      <c r="H878" s="200">
        <v>1650</v>
      </c>
      <c r="I878" s="199"/>
      <c r="J878" s="199"/>
      <c r="K878" s="199"/>
      <c r="L878" s="199"/>
      <c r="M878" s="199" t="s">
        <v>3320</v>
      </c>
    </row>
    <row r="879" spans="1:13" ht="57">
      <c r="A879" s="199">
        <v>878</v>
      </c>
      <c r="B879" s="199" t="s">
        <v>4219</v>
      </c>
      <c r="C879" s="199" t="s">
        <v>34</v>
      </c>
      <c r="D879" s="199" t="s">
        <v>35</v>
      </c>
      <c r="E879" s="199">
        <v>500</v>
      </c>
      <c r="F879" s="199" t="s">
        <v>756</v>
      </c>
      <c r="G879" s="199" t="s">
        <v>4112</v>
      </c>
      <c r="H879" s="200">
        <v>1650</v>
      </c>
      <c r="I879" s="199"/>
      <c r="J879" s="199"/>
      <c r="K879" s="199"/>
      <c r="L879" s="199"/>
      <c r="M879" s="199" t="s">
        <v>3320</v>
      </c>
    </row>
    <row r="880" spans="1:13" ht="57">
      <c r="A880" s="199">
        <v>879</v>
      </c>
      <c r="B880" s="199" t="s">
        <v>4220</v>
      </c>
      <c r="C880" s="199" t="s">
        <v>34</v>
      </c>
      <c r="D880" s="199" t="s">
        <v>35</v>
      </c>
      <c r="E880" s="199">
        <v>500</v>
      </c>
      <c r="F880" s="199" t="s">
        <v>756</v>
      </c>
      <c r="G880" s="199" t="s">
        <v>4112</v>
      </c>
      <c r="H880" s="200">
        <v>1650</v>
      </c>
      <c r="I880" s="199"/>
      <c r="J880" s="199"/>
      <c r="K880" s="199"/>
      <c r="L880" s="199"/>
      <c r="M880" s="199" t="s">
        <v>3320</v>
      </c>
    </row>
    <row r="881" spans="1:13" ht="71.25">
      <c r="A881" s="199">
        <v>880</v>
      </c>
      <c r="B881" s="199" t="s">
        <v>4221</v>
      </c>
      <c r="C881" s="199" t="s">
        <v>34</v>
      </c>
      <c r="D881" s="199" t="s">
        <v>35</v>
      </c>
      <c r="E881" s="199">
        <v>500</v>
      </c>
      <c r="F881" s="199" t="s">
        <v>756</v>
      </c>
      <c r="G881" s="199" t="s">
        <v>4112</v>
      </c>
      <c r="H881" s="200">
        <v>1650</v>
      </c>
      <c r="I881" s="199"/>
      <c r="J881" s="199"/>
      <c r="K881" s="199"/>
      <c r="L881" s="199"/>
      <c r="M881" s="199" t="s">
        <v>3320</v>
      </c>
    </row>
    <row r="882" spans="1:13" ht="57">
      <c r="A882" s="199">
        <v>881</v>
      </c>
      <c r="B882" s="199" t="s">
        <v>4222</v>
      </c>
      <c r="C882" s="199" t="s">
        <v>34</v>
      </c>
      <c r="D882" s="199" t="s">
        <v>35</v>
      </c>
      <c r="E882" s="199">
        <v>500</v>
      </c>
      <c r="F882" s="199" t="s">
        <v>756</v>
      </c>
      <c r="G882" s="199" t="s">
        <v>4112</v>
      </c>
      <c r="H882" s="200">
        <v>1650</v>
      </c>
      <c r="I882" s="199"/>
      <c r="J882" s="199"/>
      <c r="K882" s="199"/>
      <c r="L882" s="199"/>
      <c r="M882" s="199" t="s">
        <v>3320</v>
      </c>
    </row>
    <row r="883" spans="1:13" ht="57">
      <c r="A883" s="199">
        <v>882</v>
      </c>
      <c r="B883" s="199" t="s">
        <v>4223</v>
      </c>
      <c r="C883" s="199" t="s">
        <v>34</v>
      </c>
      <c r="D883" s="199" t="s">
        <v>35</v>
      </c>
      <c r="E883" s="199">
        <v>500</v>
      </c>
      <c r="F883" s="199" t="s">
        <v>756</v>
      </c>
      <c r="G883" s="199" t="s">
        <v>4112</v>
      </c>
      <c r="H883" s="200">
        <v>1650</v>
      </c>
      <c r="I883" s="199"/>
      <c r="J883" s="199"/>
      <c r="K883" s="199"/>
      <c r="L883" s="199"/>
      <c r="M883" s="199" t="s">
        <v>3320</v>
      </c>
    </row>
    <row r="884" spans="1:13" ht="57">
      <c r="A884" s="199">
        <v>883</v>
      </c>
      <c r="B884" s="199" t="s">
        <v>4224</v>
      </c>
      <c r="C884" s="199" t="s">
        <v>34</v>
      </c>
      <c r="D884" s="199" t="s">
        <v>35</v>
      </c>
      <c r="E884" s="199">
        <v>500</v>
      </c>
      <c r="F884" s="199" t="s">
        <v>756</v>
      </c>
      <c r="G884" s="199" t="s">
        <v>4112</v>
      </c>
      <c r="H884" s="200">
        <v>1650</v>
      </c>
      <c r="I884" s="199"/>
      <c r="J884" s="199"/>
      <c r="K884" s="199"/>
      <c r="L884" s="199"/>
      <c r="M884" s="199" t="s">
        <v>3320</v>
      </c>
    </row>
    <row r="885" spans="1:13" ht="57">
      <c r="A885" s="199">
        <v>884</v>
      </c>
      <c r="B885" s="199" t="s">
        <v>4225</v>
      </c>
      <c r="C885" s="199" t="s">
        <v>34</v>
      </c>
      <c r="D885" s="199" t="s">
        <v>35</v>
      </c>
      <c r="E885" s="199">
        <v>500</v>
      </c>
      <c r="F885" s="199" t="s">
        <v>756</v>
      </c>
      <c r="G885" s="199" t="s">
        <v>4112</v>
      </c>
      <c r="H885" s="200">
        <v>1650</v>
      </c>
      <c r="I885" s="199"/>
      <c r="J885" s="199"/>
      <c r="K885" s="199"/>
      <c r="L885" s="199"/>
      <c r="M885" s="199" t="s">
        <v>3320</v>
      </c>
    </row>
    <row r="886" spans="1:13" ht="57">
      <c r="A886" s="199">
        <v>885</v>
      </c>
      <c r="B886" s="199" t="s">
        <v>4226</v>
      </c>
      <c r="C886" s="199" t="s">
        <v>34</v>
      </c>
      <c r="D886" s="199" t="s">
        <v>35</v>
      </c>
      <c r="E886" s="199">
        <v>5000</v>
      </c>
      <c r="F886" s="199" t="s">
        <v>8</v>
      </c>
      <c r="G886" s="199" t="s">
        <v>4112</v>
      </c>
      <c r="H886" s="200">
        <v>192950</v>
      </c>
      <c r="I886" s="199"/>
      <c r="J886" s="199"/>
      <c r="K886" s="199"/>
      <c r="L886" s="199"/>
      <c r="M886" s="199" t="s">
        <v>3320</v>
      </c>
    </row>
    <row r="887" spans="1:13" ht="57">
      <c r="A887" s="199">
        <v>886</v>
      </c>
      <c r="B887" s="199" t="s">
        <v>4227</v>
      </c>
      <c r="C887" s="199" t="s">
        <v>34</v>
      </c>
      <c r="D887" s="199" t="s">
        <v>35</v>
      </c>
      <c r="E887" s="199">
        <v>1500</v>
      </c>
      <c r="F887" s="199" t="s">
        <v>8</v>
      </c>
      <c r="G887" s="199" t="s">
        <v>4112</v>
      </c>
      <c r="H887" s="200">
        <v>18750</v>
      </c>
      <c r="I887" s="199"/>
      <c r="J887" s="199"/>
      <c r="K887" s="199"/>
      <c r="L887" s="199"/>
      <c r="M887" s="199" t="s">
        <v>3320</v>
      </c>
    </row>
    <row r="888" spans="1:13" ht="99.75">
      <c r="A888" s="199">
        <v>887</v>
      </c>
      <c r="B888" s="199" t="s">
        <v>4228</v>
      </c>
      <c r="C888" s="199" t="s">
        <v>34</v>
      </c>
      <c r="D888" s="199" t="s">
        <v>35</v>
      </c>
      <c r="E888" s="199">
        <v>200</v>
      </c>
      <c r="F888" s="199" t="s">
        <v>8</v>
      </c>
      <c r="G888" s="199" t="s">
        <v>4112</v>
      </c>
      <c r="H888" s="200">
        <v>1130</v>
      </c>
      <c r="I888" s="199"/>
      <c r="J888" s="199"/>
      <c r="K888" s="199"/>
      <c r="L888" s="199"/>
      <c r="M888" s="199" t="s">
        <v>3320</v>
      </c>
    </row>
    <row r="889" spans="1:13" ht="99.75">
      <c r="A889" s="199">
        <v>888</v>
      </c>
      <c r="B889" s="199" t="s">
        <v>4229</v>
      </c>
      <c r="C889" s="199" t="s">
        <v>34</v>
      </c>
      <c r="D889" s="199" t="s">
        <v>35</v>
      </c>
      <c r="E889" s="199">
        <v>200</v>
      </c>
      <c r="F889" s="199" t="s">
        <v>8</v>
      </c>
      <c r="G889" s="199" t="s">
        <v>4112</v>
      </c>
      <c r="H889" s="200">
        <v>1100</v>
      </c>
      <c r="I889" s="199"/>
      <c r="J889" s="199"/>
      <c r="K889" s="199"/>
      <c r="L889" s="199"/>
      <c r="M889" s="199" t="s">
        <v>3320</v>
      </c>
    </row>
    <row r="890" spans="1:13" ht="99.75">
      <c r="A890" s="199">
        <v>889</v>
      </c>
      <c r="B890" s="199" t="s">
        <v>4230</v>
      </c>
      <c r="C890" s="199" t="s">
        <v>34</v>
      </c>
      <c r="D890" s="199" t="s">
        <v>35</v>
      </c>
      <c r="E890" s="199">
        <v>300</v>
      </c>
      <c r="F890" s="199" t="s">
        <v>8</v>
      </c>
      <c r="G890" s="199" t="s">
        <v>4112</v>
      </c>
      <c r="H890" s="200">
        <v>2130</v>
      </c>
      <c r="I890" s="199"/>
      <c r="J890" s="199"/>
      <c r="K890" s="199"/>
      <c r="L890" s="199"/>
      <c r="M890" s="199" t="s">
        <v>3320</v>
      </c>
    </row>
    <row r="891" spans="1:13" ht="85.5">
      <c r="A891" s="199">
        <v>890</v>
      </c>
      <c r="B891" s="199" t="s">
        <v>4231</v>
      </c>
      <c r="C891" s="199" t="s">
        <v>34</v>
      </c>
      <c r="D891" s="199" t="s">
        <v>35</v>
      </c>
      <c r="E891" s="199">
        <v>100</v>
      </c>
      <c r="F891" s="199" t="s">
        <v>8</v>
      </c>
      <c r="G891" s="199" t="s">
        <v>4112</v>
      </c>
      <c r="H891" s="200">
        <v>2700</v>
      </c>
      <c r="I891" s="199"/>
      <c r="J891" s="199"/>
      <c r="K891" s="199"/>
      <c r="L891" s="199"/>
      <c r="M891" s="199" t="s">
        <v>3320</v>
      </c>
    </row>
    <row r="892" spans="1:13" ht="57">
      <c r="A892" s="199">
        <v>891</v>
      </c>
      <c r="B892" s="199" t="s">
        <v>4232</v>
      </c>
      <c r="C892" s="199" t="s">
        <v>34</v>
      </c>
      <c r="D892" s="199" t="s">
        <v>35</v>
      </c>
      <c r="E892" s="199">
        <v>200</v>
      </c>
      <c r="F892" s="199" t="s">
        <v>8</v>
      </c>
      <c r="G892" s="199" t="s">
        <v>4112</v>
      </c>
      <c r="H892" s="200">
        <v>300</v>
      </c>
      <c r="I892" s="199"/>
      <c r="J892" s="199"/>
      <c r="K892" s="199"/>
      <c r="L892" s="199"/>
      <c r="M892" s="199" t="s">
        <v>3320</v>
      </c>
    </row>
    <row r="893" spans="1:13" ht="71.25">
      <c r="A893" s="199">
        <v>892</v>
      </c>
      <c r="B893" s="199" t="s">
        <v>4233</v>
      </c>
      <c r="C893" s="199" t="s">
        <v>34</v>
      </c>
      <c r="D893" s="199" t="s">
        <v>35</v>
      </c>
      <c r="E893" s="199">
        <v>100</v>
      </c>
      <c r="F893" s="199" t="s">
        <v>8</v>
      </c>
      <c r="G893" s="199" t="s">
        <v>4112</v>
      </c>
      <c r="H893" s="200">
        <v>415</v>
      </c>
      <c r="I893" s="199"/>
      <c r="J893" s="199"/>
      <c r="K893" s="199"/>
      <c r="L893" s="199"/>
      <c r="M893" s="199" t="s">
        <v>3320</v>
      </c>
    </row>
    <row r="894" spans="1:13" ht="114">
      <c r="A894" s="199">
        <v>893</v>
      </c>
      <c r="B894" s="199" t="s">
        <v>4234</v>
      </c>
      <c r="C894" s="199" t="s">
        <v>34</v>
      </c>
      <c r="D894" s="199" t="s">
        <v>35</v>
      </c>
      <c r="E894" s="199">
        <v>100</v>
      </c>
      <c r="F894" s="199" t="s">
        <v>756</v>
      </c>
      <c r="G894" s="199" t="s">
        <v>4112</v>
      </c>
      <c r="H894" s="200">
        <v>320</v>
      </c>
      <c r="I894" s="199"/>
      <c r="J894" s="199"/>
      <c r="K894" s="199"/>
      <c r="L894" s="199"/>
      <c r="M894" s="199" t="s">
        <v>3320</v>
      </c>
    </row>
    <row r="895" spans="1:13" ht="71.25">
      <c r="A895" s="199">
        <v>894</v>
      </c>
      <c r="B895" s="199" t="s">
        <v>4235</v>
      </c>
      <c r="C895" s="199" t="s">
        <v>34</v>
      </c>
      <c r="D895" s="199" t="s">
        <v>35</v>
      </c>
      <c r="E895" s="199">
        <v>100</v>
      </c>
      <c r="F895" s="199" t="s">
        <v>8</v>
      </c>
      <c r="G895" s="199" t="s">
        <v>4112</v>
      </c>
      <c r="H895" s="200">
        <v>700</v>
      </c>
      <c r="I895" s="199"/>
      <c r="J895" s="199"/>
      <c r="K895" s="199"/>
      <c r="L895" s="199"/>
      <c r="M895" s="199" t="s">
        <v>3320</v>
      </c>
    </row>
    <row r="896" spans="1:13" ht="71.25">
      <c r="A896" s="199">
        <v>895</v>
      </c>
      <c r="B896" s="199" t="s">
        <v>4236</v>
      </c>
      <c r="C896" s="199" t="s">
        <v>34</v>
      </c>
      <c r="D896" s="199" t="s">
        <v>35</v>
      </c>
      <c r="E896" s="199">
        <v>100</v>
      </c>
      <c r="F896" s="199" t="s">
        <v>8</v>
      </c>
      <c r="G896" s="199" t="s">
        <v>4112</v>
      </c>
      <c r="H896" s="200">
        <v>990</v>
      </c>
      <c r="I896" s="199"/>
      <c r="J896" s="199"/>
      <c r="K896" s="199"/>
      <c r="L896" s="199"/>
      <c r="M896" s="199" t="s">
        <v>3320</v>
      </c>
    </row>
    <row r="897" spans="1:13" ht="71.25">
      <c r="A897" s="199">
        <v>896</v>
      </c>
      <c r="B897" s="199" t="s">
        <v>4237</v>
      </c>
      <c r="C897" s="199" t="s">
        <v>34</v>
      </c>
      <c r="D897" s="199" t="s">
        <v>35</v>
      </c>
      <c r="E897" s="199">
        <v>200</v>
      </c>
      <c r="F897" s="199" t="s">
        <v>8</v>
      </c>
      <c r="G897" s="199" t="s">
        <v>4112</v>
      </c>
      <c r="H897" s="200">
        <v>4214</v>
      </c>
      <c r="I897" s="199"/>
      <c r="J897" s="199"/>
      <c r="K897" s="199"/>
      <c r="L897" s="199"/>
      <c r="M897" s="199" t="s">
        <v>3320</v>
      </c>
    </row>
    <row r="898" spans="1:13" ht="71.25">
      <c r="A898" s="199">
        <v>897</v>
      </c>
      <c r="B898" s="199" t="s">
        <v>4238</v>
      </c>
      <c r="C898" s="199" t="s">
        <v>34</v>
      </c>
      <c r="D898" s="199" t="s">
        <v>35</v>
      </c>
      <c r="E898" s="199">
        <v>200</v>
      </c>
      <c r="F898" s="199" t="s">
        <v>8</v>
      </c>
      <c r="G898" s="199" t="s">
        <v>4112</v>
      </c>
      <c r="H898" s="200">
        <v>4214</v>
      </c>
      <c r="I898" s="199"/>
      <c r="J898" s="199"/>
      <c r="K898" s="199"/>
      <c r="L898" s="199"/>
      <c r="M898" s="199" t="s">
        <v>3320</v>
      </c>
    </row>
    <row r="899" spans="1:13" ht="57">
      <c r="A899" s="199">
        <v>898</v>
      </c>
      <c r="B899" s="199" t="s">
        <v>4239</v>
      </c>
      <c r="C899" s="199" t="s">
        <v>34</v>
      </c>
      <c r="D899" s="199" t="s">
        <v>35</v>
      </c>
      <c r="E899" s="199">
        <v>10000</v>
      </c>
      <c r="F899" s="199" t="s">
        <v>8</v>
      </c>
      <c r="G899" s="199" t="s">
        <v>4112</v>
      </c>
      <c r="H899" s="200">
        <v>29500</v>
      </c>
      <c r="I899" s="199"/>
      <c r="J899" s="199"/>
      <c r="K899" s="199"/>
      <c r="L899" s="199"/>
      <c r="M899" s="199" t="s">
        <v>3320</v>
      </c>
    </row>
    <row r="900" spans="1:13" ht="57">
      <c r="A900" s="199">
        <v>899</v>
      </c>
      <c r="B900" s="199" t="s">
        <v>4240</v>
      </c>
      <c r="C900" s="199" t="s">
        <v>34</v>
      </c>
      <c r="D900" s="199" t="s">
        <v>35</v>
      </c>
      <c r="E900" s="199">
        <v>30</v>
      </c>
      <c r="F900" s="199" t="s">
        <v>756</v>
      </c>
      <c r="G900" s="199" t="s">
        <v>4112</v>
      </c>
      <c r="H900" s="200">
        <v>2268.3000000000002</v>
      </c>
      <c r="I900" s="199"/>
      <c r="J900" s="199"/>
      <c r="K900" s="199"/>
      <c r="L900" s="199"/>
      <c r="M900" s="199" t="s">
        <v>3320</v>
      </c>
    </row>
    <row r="901" spans="1:13" ht="57">
      <c r="A901" s="199">
        <v>900</v>
      </c>
      <c r="B901" s="199" t="s">
        <v>4241</v>
      </c>
      <c r="C901" s="199" t="s">
        <v>34</v>
      </c>
      <c r="D901" s="199" t="s">
        <v>35</v>
      </c>
      <c r="E901" s="199">
        <v>600</v>
      </c>
      <c r="F901" s="199" t="s">
        <v>756</v>
      </c>
      <c r="G901" s="199" t="s">
        <v>4112</v>
      </c>
      <c r="H901" s="200">
        <v>378</v>
      </c>
      <c r="I901" s="199"/>
      <c r="J901" s="199"/>
      <c r="K901" s="199"/>
      <c r="L901" s="199"/>
      <c r="M901" s="199" t="s">
        <v>3320</v>
      </c>
    </row>
    <row r="902" spans="1:13" ht="57">
      <c r="A902" s="199">
        <v>901</v>
      </c>
      <c r="B902" s="199" t="s">
        <v>4242</v>
      </c>
      <c r="C902" s="199" t="s">
        <v>34</v>
      </c>
      <c r="D902" s="199" t="s">
        <v>35</v>
      </c>
      <c r="E902" s="199">
        <v>2000</v>
      </c>
      <c r="F902" s="199" t="s">
        <v>756</v>
      </c>
      <c r="G902" s="199" t="s">
        <v>4112</v>
      </c>
      <c r="H902" s="200">
        <v>1980</v>
      </c>
      <c r="I902" s="199"/>
      <c r="J902" s="199"/>
      <c r="K902" s="199"/>
      <c r="L902" s="199"/>
      <c r="M902" s="199" t="s">
        <v>3320</v>
      </c>
    </row>
    <row r="903" spans="1:13" ht="57">
      <c r="A903" s="199">
        <v>902</v>
      </c>
      <c r="B903" s="199" t="s">
        <v>4243</v>
      </c>
      <c r="C903" s="199" t="s">
        <v>34</v>
      </c>
      <c r="D903" s="199" t="s">
        <v>35</v>
      </c>
      <c r="E903" s="199">
        <v>2000</v>
      </c>
      <c r="F903" s="199" t="s">
        <v>756</v>
      </c>
      <c r="G903" s="199" t="s">
        <v>4112</v>
      </c>
      <c r="H903" s="200">
        <v>1980</v>
      </c>
      <c r="I903" s="199"/>
      <c r="J903" s="199"/>
      <c r="K903" s="199"/>
      <c r="L903" s="199"/>
      <c r="M903" s="199" t="s">
        <v>3320</v>
      </c>
    </row>
    <row r="904" spans="1:13" ht="57">
      <c r="A904" s="199">
        <v>903</v>
      </c>
      <c r="B904" s="199" t="s">
        <v>4244</v>
      </c>
      <c r="C904" s="199" t="s">
        <v>34</v>
      </c>
      <c r="D904" s="199" t="s">
        <v>35</v>
      </c>
      <c r="E904" s="199">
        <v>1000</v>
      </c>
      <c r="F904" s="199" t="s">
        <v>756</v>
      </c>
      <c r="G904" s="199" t="s">
        <v>4112</v>
      </c>
      <c r="H904" s="200">
        <v>990</v>
      </c>
      <c r="I904" s="199"/>
      <c r="J904" s="199"/>
      <c r="K904" s="199"/>
      <c r="L904" s="199"/>
      <c r="M904" s="199" t="s">
        <v>3320</v>
      </c>
    </row>
    <row r="905" spans="1:13" ht="57">
      <c r="A905" s="199">
        <v>904</v>
      </c>
      <c r="B905" s="199" t="s">
        <v>4245</v>
      </c>
      <c r="C905" s="199" t="s">
        <v>34</v>
      </c>
      <c r="D905" s="199" t="s">
        <v>35</v>
      </c>
      <c r="E905" s="199">
        <v>20</v>
      </c>
      <c r="F905" s="199" t="s">
        <v>4246</v>
      </c>
      <c r="G905" s="199" t="s">
        <v>4112</v>
      </c>
      <c r="H905" s="200">
        <v>328.6</v>
      </c>
      <c r="I905" s="199"/>
      <c r="J905" s="199"/>
      <c r="K905" s="199"/>
      <c r="L905" s="199"/>
      <c r="M905" s="199" t="s">
        <v>3320</v>
      </c>
    </row>
    <row r="906" spans="1:13" ht="71.25">
      <c r="A906" s="199">
        <v>905</v>
      </c>
      <c r="B906" s="199" t="s">
        <v>978</v>
      </c>
      <c r="C906" s="199" t="s">
        <v>34</v>
      </c>
      <c r="D906" s="199" t="s">
        <v>35</v>
      </c>
      <c r="E906" s="199">
        <v>20</v>
      </c>
      <c r="F906" s="199" t="s">
        <v>4246</v>
      </c>
      <c r="G906" s="199" t="s">
        <v>4112</v>
      </c>
      <c r="H906" s="200">
        <v>487.2</v>
      </c>
      <c r="I906" s="199"/>
      <c r="J906" s="199"/>
      <c r="K906" s="199"/>
      <c r="L906" s="199"/>
      <c r="M906" s="199" t="s">
        <v>3320</v>
      </c>
    </row>
    <row r="907" spans="1:13" ht="57">
      <c r="A907" s="199">
        <v>906</v>
      </c>
      <c r="B907" s="199" t="s">
        <v>4247</v>
      </c>
      <c r="C907" s="199" t="s">
        <v>34</v>
      </c>
      <c r="D907" s="199" t="s">
        <v>35</v>
      </c>
      <c r="E907" s="199">
        <v>500</v>
      </c>
      <c r="F907" s="199" t="s">
        <v>756</v>
      </c>
      <c r="G907" s="199" t="s">
        <v>4112</v>
      </c>
      <c r="H907" s="200">
        <v>1505</v>
      </c>
      <c r="I907" s="199"/>
      <c r="J907" s="199"/>
      <c r="K907" s="199"/>
      <c r="L907" s="199"/>
      <c r="M907" s="199" t="s">
        <v>3320</v>
      </c>
    </row>
    <row r="908" spans="1:13" ht="57">
      <c r="A908" s="199">
        <v>907</v>
      </c>
      <c r="B908" s="199" t="s">
        <v>4248</v>
      </c>
      <c r="C908" s="199" t="s">
        <v>34</v>
      </c>
      <c r="D908" s="199" t="s">
        <v>35</v>
      </c>
      <c r="E908" s="199">
        <v>150</v>
      </c>
      <c r="F908" s="199" t="s">
        <v>8</v>
      </c>
      <c r="G908" s="199" t="s">
        <v>4112</v>
      </c>
      <c r="H908" s="200">
        <v>451.5</v>
      </c>
      <c r="I908" s="199"/>
      <c r="J908" s="199"/>
      <c r="K908" s="199"/>
      <c r="L908" s="199"/>
      <c r="M908" s="199" t="s">
        <v>3320</v>
      </c>
    </row>
    <row r="909" spans="1:13" ht="57">
      <c r="A909" s="199">
        <v>908</v>
      </c>
      <c r="B909" s="199" t="s">
        <v>4249</v>
      </c>
      <c r="C909" s="199" t="s">
        <v>34</v>
      </c>
      <c r="D909" s="199" t="s">
        <v>35</v>
      </c>
      <c r="E909" s="199">
        <v>150</v>
      </c>
      <c r="F909" s="199" t="s">
        <v>8</v>
      </c>
      <c r="G909" s="199" t="s">
        <v>4112</v>
      </c>
      <c r="H909" s="200">
        <v>451.5</v>
      </c>
      <c r="I909" s="199"/>
      <c r="J909" s="199"/>
      <c r="K909" s="199"/>
      <c r="L909" s="199"/>
      <c r="M909" s="199" t="s">
        <v>3320</v>
      </c>
    </row>
    <row r="910" spans="1:13" ht="57">
      <c r="A910" s="199">
        <v>909</v>
      </c>
      <c r="B910" s="199" t="s">
        <v>4250</v>
      </c>
      <c r="C910" s="199" t="s">
        <v>34</v>
      </c>
      <c r="D910" s="199" t="s">
        <v>35</v>
      </c>
      <c r="E910" s="199">
        <v>150</v>
      </c>
      <c r="F910" s="199" t="s">
        <v>8</v>
      </c>
      <c r="G910" s="199" t="s">
        <v>4112</v>
      </c>
      <c r="H910" s="200">
        <v>451.5</v>
      </c>
      <c r="I910" s="199"/>
      <c r="J910" s="199"/>
      <c r="K910" s="199"/>
      <c r="L910" s="199"/>
      <c r="M910" s="199" t="s">
        <v>3320</v>
      </c>
    </row>
    <row r="911" spans="1:13" ht="57">
      <c r="A911" s="199">
        <v>910</v>
      </c>
      <c r="B911" s="199" t="s">
        <v>4251</v>
      </c>
      <c r="C911" s="199" t="s">
        <v>34</v>
      </c>
      <c r="D911" s="199" t="s">
        <v>35</v>
      </c>
      <c r="E911" s="199">
        <v>150</v>
      </c>
      <c r="F911" s="199" t="s">
        <v>8</v>
      </c>
      <c r="G911" s="199" t="s">
        <v>4112</v>
      </c>
      <c r="H911" s="200">
        <v>451.5</v>
      </c>
      <c r="I911" s="199"/>
      <c r="J911" s="199"/>
      <c r="K911" s="199"/>
      <c r="L911" s="199"/>
      <c r="M911" s="199" t="s">
        <v>3320</v>
      </c>
    </row>
    <row r="912" spans="1:13" ht="57">
      <c r="A912" s="199">
        <v>911</v>
      </c>
      <c r="B912" s="199" t="s">
        <v>4252</v>
      </c>
      <c r="C912" s="199" t="s">
        <v>34</v>
      </c>
      <c r="D912" s="199" t="s">
        <v>35</v>
      </c>
      <c r="E912" s="199">
        <v>200</v>
      </c>
      <c r="F912" s="199" t="s">
        <v>8</v>
      </c>
      <c r="G912" s="199" t="s">
        <v>4112</v>
      </c>
      <c r="H912" s="200">
        <v>716</v>
      </c>
      <c r="I912" s="199"/>
      <c r="J912" s="199"/>
      <c r="K912" s="199"/>
      <c r="L912" s="199"/>
      <c r="M912" s="199" t="s">
        <v>3320</v>
      </c>
    </row>
    <row r="913" spans="1:13" ht="57">
      <c r="A913" s="199">
        <v>912</v>
      </c>
      <c r="B913" s="199" t="s">
        <v>4253</v>
      </c>
      <c r="C913" s="199" t="s">
        <v>34</v>
      </c>
      <c r="D913" s="199" t="s">
        <v>35</v>
      </c>
      <c r="E913" s="199">
        <v>10</v>
      </c>
      <c r="F913" s="199" t="s">
        <v>679</v>
      </c>
      <c r="G913" s="199" t="s">
        <v>4112</v>
      </c>
      <c r="H913" s="200">
        <v>7160</v>
      </c>
      <c r="I913" s="199"/>
      <c r="J913" s="199"/>
      <c r="K913" s="199"/>
      <c r="L913" s="199"/>
      <c r="M913" s="199" t="s">
        <v>3320</v>
      </c>
    </row>
    <row r="914" spans="1:13" ht="57">
      <c r="A914" s="199">
        <v>913</v>
      </c>
      <c r="B914" s="199" t="s">
        <v>4254</v>
      </c>
      <c r="C914" s="199" t="s">
        <v>34</v>
      </c>
      <c r="D914" s="199" t="s">
        <v>35</v>
      </c>
      <c r="E914" s="199">
        <v>50</v>
      </c>
      <c r="F914" s="199" t="s">
        <v>756</v>
      </c>
      <c r="G914" s="199" t="s">
        <v>4112</v>
      </c>
      <c r="H914" s="200">
        <v>235</v>
      </c>
      <c r="I914" s="199"/>
      <c r="J914" s="199"/>
      <c r="K914" s="199"/>
      <c r="L914" s="199"/>
      <c r="M914" s="199" t="s">
        <v>3320</v>
      </c>
    </row>
    <row r="915" spans="1:13" ht="57">
      <c r="A915" s="199">
        <v>914</v>
      </c>
      <c r="B915" s="199" t="s">
        <v>4255</v>
      </c>
      <c r="C915" s="199" t="s">
        <v>34</v>
      </c>
      <c r="D915" s="199" t="s">
        <v>35</v>
      </c>
      <c r="E915" s="199">
        <v>50</v>
      </c>
      <c r="F915" s="199" t="s">
        <v>756</v>
      </c>
      <c r="G915" s="199" t="s">
        <v>4112</v>
      </c>
      <c r="H915" s="200">
        <v>235</v>
      </c>
      <c r="I915" s="199"/>
      <c r="J915" s="199"/>
      <c r="K915" s="199"/>
      <c r="L915" s="199"/>
      <c r="M915" s="199" t="s">
        <v>3320</v>
      </c>
    </row>
    <row r="916" spans="1:13" ht="57">
      <c r="A916" s="199">
        <v>915</v>
      </c>
      <c r="B916" s="199" t="s">
        <v>4256</v>
      </c>
      <c r="C916" s="199" t="s">
        <v>34</v>
      </c>
      <c r="D916" s="199" t="s">
        <v>35</v>
      </c>
      <c r="E916" s="199">
        <v>50</v>
      </c>
      <c r="F916" s="199" t="s">
        <v>8</v>
      </c>
      <c r="G916" s="199" t="s">
        <v>4112</v>
      </c>
      <c r="H916" s="200">
        <v>235</v>
      </c>
      <c r="I916" s="199"/>
      <c r="J916" s="199"/>
      <c r="K916" s="199"/>
      <c r="L916" s="199"/>
      <c r="M916" s="199" t="s">
        <v>3320</v>
      </c>
    </row>
    <row r="917" spans="1:13" ht="71.25">
      <c r="A917" s="199">
        <v>916</v>
      </c>
      <c r="B917" s="199" t="s">
        <v>4257</v>
      </c>
      <c r="C917" s="199" t="s">
        <v>34</v>
      </c>
      <c r="D917" s="199" t="s">
        <v>35</v>
      </c>
      <c r="E917" s="199">
        <v>20</v>
      </c>
      <c r="F917" s="199" t="s">
        <v>679</v>
      </c>
      <c r="G917" s="199" t="s">
        <v>4112</v>
      </c>
      <c r="H917" s="200">
        <v>1107.2</v>
      </c>
      <c r="I917" s="199"/>
      <c r="J917" s="199"/>
      <c r="K917" s="199"/>
      <c r="L917" s="199"/>
      <c r="M917" s="199" t="s">
        <v>3320</v>
      </c>
    </row>
    <row r="918" spans="1:13" ht="71.25">
      <c r="A918" s="199">
        <v>917</v>
      </c>
      <c r="B918" s="199" t="s">
        <v>4258</v>
      </c>
      <c r="C918" s="199" t="s">
        <v>34</v>
      </c>
      <c r="D918" s="199" t="s">
        <v>35</v>
      </c>
      <c r="E918" s="199">
        <v>20</v>
      </c>
      <c r="F918" s="199" t="s">
        <v>679</v>
      </c>
      <c r="G918" s="199" t="s">
        <v>4112</v>
      </c>
      <c r="H918" s="200">
        <v>1107.2</v>
      </c>
      <c r="I918" s="199"/>
      <c r="J918" s="199"/>
      <c r="K918" s="199"/>
      <c r="L918" s="199"/>
      <c r="M918" s="199" t="s">
        <v>3320</v>
      </c>
    </row>
    <row r="919" spans="1:13" ht="71.25">
      <c r="A919" s="199">
        <v>918</v>
      </c>
      <c r="B919" s="199" t="s">
        <v>4259</v>
      </c>
      <c r="C919" s="199" t="s">
        <v>34</v>
      </c>
      <c r="D919" s="199" t="s">
        <v>35</v>
      </c>
      <c r="E919" s="199">
        <v>20</v>
      </c>
      <c r="F919" s="199" t="s">
        <v>679</v>
      </c>
      <c r="G919" s="199" t="s">
        <v>4112</v>
      </c>
      <c r="H919" s="200">
        <v>1107.2</v>
      </c>
      <c r="I919" s="199"/>
      <c r="J919" s="199"/>
      <c r="K919" s="199"/>
      <c r="L919" s="199"/>
      <c r="M919" s="199" t="s">
        <v>3320</v>
      </c>
    </row>
    <row r="920" spans="1:13" ht="57">
      <c r="A920" s="199">
        <v>919</v>
      </c>
      <c r="B920" s="199" t="s">
        <v>4260</v>
      </c>
      <c r="C920" s="199" t="s">
        <v>34</v>
      </c>
      <c r="D920" s="199" t="s">
        <v>35</v>
      </c>
      <c r="E920" s="199">
        <v>300</v>
      </c>
      <c r="F920" s="199" t="s">
        <v>756</v>
      </c>
      <c r="G920" s="199" t="s">
        <v>4112</v>
      </c>
      <c r="H920" s="200">
        <v>3072</v>
      </c>
      <c r="I920" s="199"/>
      <c r="J920" s="199"/>
      <c r="K920" s="199"/>
      <c r="L920" s="199"/>
      <c r="M920" s="199" t="s">
        <v>3320</v>
      </c>
    </row>
    <row r="921" spans="1:13" ht="57">
      <c r="A921" s="199">
        <v>920</v>
      </c>
      <c r="B921" s="199" t="s">
        <v>4261</v>
      </c>
      <c r="C921" s="199" t="s">
        <v>34</v>
      </c>
      <c r="D921" s="199" t="s">
        <v>35</v>
      </c>
      <c r="E921" s="199">
        <v>100</v>
      </c>
      <c r="F921" s="199" t="s">
        <v>756</v>
      </c>
      <c r="G921" s="199" t="s">
        <v>4112</v>
      </c>
      <c r="H921" s="200">
        <v>19953</v>
      </c>
      <c r="I921" s="199"/>
      <c r="J921" s="199"/>
      <c r="K921" s="199"/>
      <c r="L921" s="199"/>
      <c r="M921" s="199" t="s">
        <v>3320</v>
      </c>
    </row>
    <row r="922" spans="1:13" ht="156.75">
      <c r="A922" s="199">
        <v>921</v>
      </c>
      <c r="B922" s="199" t="s">
        <v>4262</v>
      </c>
      <c r="C922" s="199" t="s">
        <v>34</v>
      </c>
      <c r="D922" s="199" t="s">
        <v>35</v>
      </c>
      <c r="E922" s="199">
        <v>200</v>
      </c>
      <c r="F922" s="199" t="s">
        <v>756</v>
      </c>
      <c r="G922" s="199" t="s">
        <v>4112</v>
      </c>
      <c r="H922" s="200">
        <v>3222</v>
      </c>
      <c r="I922" s="199"/>
      <c r="J922" s="199"/>
      <c r="K922" s="199"/>
      <c r="L922" s="199"/>
      <c r="M922" s="199" t="s">
        <v>3320</v>
      </c>
    </row>
    <row r="923" spans="1:13" ht="71.25">
      <c r="A923" s="199">
        <v>922</v>
      </c>
      <c r="B923" s="199" t="s">
        <v>4263</v>
      </c>
      <c r="C923" s="199" t="s">
        <v>34</v>
      </c>
      <c r="D923" s="199" t="s">
        <v>35</v>
      </c>
      <c r="E923" s="199">
        <v>150</v>
      </c>
      <c r="F923" s="199" t="s">
        <v>756</v>
      </c>
      <c r="G923" s="199" t="s">
        <v>4112</v>
      </c>
      <c r="H923" s="200">
        <v>1438.5</v>
      </c>
      <c r="I923" s="199"/>
      <c r="J923" s="199"/>
      <c r="K923" s="199"/>
      <c r="L923" s="199"/>
      <c r="M923" s="199" t="s">
        <v>3320</v>
      </c>
    </row>
    <row r="924" spans="1:13" ht="57">
      <c r="A924" s="199">
        <v>923</v>
      </c>
      <c r="B924" s="199" t="s">
        <v>4264</v>
      </c>
      <c r="C924" s="199" t="s">
        <v>34</v>
      </c>
      <c r="D924" s="199" t="s">
        <v>35</v>
      </c>
      <c r="E924" s="199">
        <v>200</v>
      </c>
      <c r="F924" s="199" t="s">
        <v>756</v>
      </c>
      <c r="G924" s="199" t="s">
        <v>4112</v>
      </c>
      <c r="H924" s="200">
        <v>3988</v>
      </c>
      <c r="I924" s="199"/>
      <c r="J924" s="199"/>
      <c r="K924" s="199"/>
      <c r="L924" s="199"/>
      <c r="M924" s="199" t="s">
        <v>3320</v>
      </c>
    </row>
    <row r="925" spans="1:13" ht="71.25">
      <c r="A925" s="199">
        <v>924</v>
      </c>
      <c r="B925" s="199" t="s">
        <v>4265</v>
      </c>
      <c r="C925" s="199" t="s">
        <v>34</v>
      </c>
      <c r="D925" s="199" t="s">
        <v>35</v>
      </c>
      <c r="E925" s="199">
        <v>200</v>
      </c>
      <c r="F925" s="199" t="s">
        <v>756</v>
      </c>
      <c r="G925" s="199" t="s">
        <v>4112</v>
      </c>
      <c r="H925" s="200">
        <v>1326</v>
      </c>
      <c r="I925" s="199"/>
      <c r="J925" s="199"/>
      <c r="K925" s="199"/>
      <c r="L925" s="199"/>
      <c r="M925" s="199" t="s">
        <v>3320</v>
      </c>
    </row>
    <row r="926" spans="1:13" ht="71.25">
      <c r="A926" s="199">
        <v>925</v>
      </c>
      <c r="B926" s="199" t="s">
        <v>4266</v>
      </c>
      <c r="C926" s="199" t="s">
        <v>34</v>
      </c>
      <c r="D926" s="199" t="s">
        <v>35</v>
      </c>
      <c r="E926" s="199">
        <v>200</v>
      </c>
      <c r="F926" s="199" t="s">
        <v>756</v>
      </c>
      <c r="G926" s="199" t="s">
        <v>4112</v>
      </c>
      <c r="H926" s="200">
        <v>868</v>
      </c>
      <c r="I926" s="199"/>
      <c r="J926" s="199"/>
      <c r="K926" s="199"/>
      <c r="L926" s="199"/>
      <c r="M926" s="199" t="s">
        <v>3320</v>
      </c>
    </row>
    <row r="927" spans="1:13" ht="57">
      <c r="A927" s="199">
        <v>926</v>
      </c>
      <c r="B927" s="199" t="s">
        <v>4267</v>
      </c>
      <c r="C927" s="199" t="s">
        <v>34</v>
      </c>
      <c r="D927" s="199" t="s">
        <v>35</v>
      </c>
      <c r="E927" s="199">
        <v>200</v>
      </c>
      <c r="F927" s="199" t="s">
        <v>89</v>
      </c>
      <c r="G927" s="199" t="s">
        <v>4112</v>
      </c>
      <c r="H927" s="200">
        <v>3112</v>
      </c>
      <c r="I927" s="199"/>
      <c r="J927" s="199"/>
      <c r="K927" s="199"/>
      <c r="L927" s="199"/>
      <c r="M927" s="199" t="s">
        <v>3320</v>
      </c>
    </row>
    <row r="928" spans="1:13" ht="57">
      <c r="A928" s="199">
        <v>927</v>
      </c>
      <c r="B928" s="199" t="s">
        <v>4268</v>
      </c>
      <c r="C928" s="199" t="s">
        <v>34</v>
      </c>
      <c r="D928" s="199" t="s">
        <v>35</v>
      </c>
      <c r="E928" s="199">
        <v>200</v>
      </c>
      <c r="F928" s="199" t="s">
        <v>89</v>
      </c>
      <c r="G928" s="199" t="s">
        <v>4112</v>
      </c>
      <c r="H928" s="200">
        <v>3638</v>
      </c>
      <c r="I928" s="199"/>
      <c r="J928" s="199"/>
      <c r="K928" s="199"/>
      <c r="L928" s="199"/>
      <c r="M928" s="199" t="s">
        <v>3320</v>
      </c>
    </row>
    <row r="929" spans="1:13" ht="57">
      <c r="A929" s="199">
        <v>928</v>
      </c>
      <c r="B929" s="199" t="s">
        <v>4269</v>
      </c>
      <c r="C929" s="199" t="s">
        <v>34</v>
      </c>
      <c r="D929" s="199" t="s">
        <v>35</v>
      </c>
      <c r="E929" s="199">
        <v>75</v>
      </c>
      <c r="F929" s="199" t="s">
        <v>591</v>
      </c>
      <c r="G929" s="199" t="s">
        <v>4112</v>
      </c>
      <c r="H929" s="200">
        <v>2007.75</v>
      </c>
      <c r="I929" s="199"/>
      <c r="J929" s="199"/>
      <c r="K929" s="199"/>
      <c r="L929" s="199"/>
      <c r="M929" s="199" t="s">
        <v>3320</v>
      </c>
    </row>
    <row r="930" spans="1:13" ht="57">
      <c r="A930" s="199">
        <v>929</v>
      </c>
      <c r="B930" s="199" t="s">
        <v>4270</v>
      </c>
      <c r="C930" s="199" t="s">
        <v>34</v>
      </c>
      <c r="D930" s="199" t="s">
        <v>35</v>
      </c>
      <c r="E930" s="199">
        <v>75</v>
      </c>
      <c r="F930" s="199" t="s">
        <v>591</v>
      </c>
      <c r="G930" s="199" t="s">
        <v>4112</v>
      </c>
      <c r="H930" s="200">
        <v>2007.75</v>
      </c>
      <c r="I930" s="199"/>
      <c r="J930" s="199"/>
      <c r="K930" s="199"/>
      <c r="L930" s="199"/>
      <c r="M930" s="199" t="s">
        <v>3320</v>
      </c>
    </row>
    <row r="931" spans="1:13" ht="57">
      <c r="A931" s="199">
        <v>930</v>
      </c>
      <c r="B931" s="199" t="s">
        <v>4271</v>
      </c>
      <c r="C931" s="199" t="s">
        <v>34</v>
      </c>
      <c r="D931" s="199" t="s">
        <v>35</v>
      </c>
      <c r="E931" s="199">
        <v>75</v>
      </c>
      <c r="F931" s="199" t="s">
        <v>591</v>
      </c>
      <c r="G931" s="199" t="s">
        <v>4112</v>
      </c>
      <c r="H931" s="200">
        <v>2007.75</v>
      </c>
      <c r="I931" s="199"/>
      <c r="J931" s="199"/>
      <c r="K931" s="199"/>
      <c r="L931" s="199"/>
      <c r="M931" s="199" t="s">
        <v>3320</v>
      </c>
    </row>
    <row r="932" spans="1:13" ht="71.25">
      <c r="A932" s="199">
        <v>931</v>
      </c>
      <c r="B932" s="199" t="s">
        <v>4272</v>
      </c>
      <c r="C932" s="199" t="s">
        <v>34</v>
      </c>
      <c r="D932" s="199" t="s">
        <v>35</v>
      </c>
      <c r="E932" s="199">
        <v>50</v>
      </c>
      <c r="F932" s="199" t="s">
        <v>591</v>
      </c>
      <c r="G932" s="199" t="s">
        <v>4112</v>
      </c>
      <c r="H932" s="200">
        <v>3337</v>
      </c>
      <c r="I932" s="199"/>
      <c r="J932" s="199"/>
      <c r="K932" s="199"/>
      <c r="L932" s="199"/>
      <c r="M932" s="199" t="s">
        <v>3320</v>
      </c>
    </row>
    <row r="933" spans="1:13" ht="71.25">
      <c r="A933" s="199">
        <v>932</v>
      </c>
      <c r="B933" s="199" t="s">
        <v>4273</v>
      </c>
      <c r="C933" s="199" t="s">
        <v>34</v>
      </c>
      <c r="D933" s="199" t="s">
        <v>35</v>
      </c>
      <c r="E933" s="199">
        <v>10</v>
      </c>
      <c r="F933" s="199" t="s">
        <v>4274</v>
      </c>
      <c r="G933" s="199" t="s">
        <v>4112</v>
      </c>
      <c r="H933" s="200">
        <v>654.70000000000005</v>
      </c>
      <c r="I933" s="199"/>
      <c r="J933" s="199"/>
      <c r="K933" s="199"/>
      <c r="L933" s="199"/>
      <c r="M933" s="199" t="s">
        <v>3320</v>
      </c>
    </row>
    <row r="934" spans="1:13" ht="57">
      <c r="A934" s="199">
        <v>933</v>
      </c>
      <c r="B934" s="199" t="s">
        <v>4275</v>
      </c>
      <c r="C934" s="199" t="s">
        <v>34</v>
      </c>
      <c r="D934" s="199" t="s">
        <v>35</v>
      </c>
      <c r="E934" s="199">
        <v>6</v>
      </c>
      <c r="F934" s="199" t="s">
        <v>756</v>
      </c>
      <c r="G934" s="199" t="s">
        <v>4112</v>
      </c>
      <c r="H934" s="200">
        <v>408.54</v>
      </c>
      <c r="I934" s="199"/>
      <c r="J934" s="199"/>
      <c r="K934" s="199"/>
      <c r="L934" s="199"/>
      <c r="M934" s="199" t="s">
        <v>3320</v>
      </c>
    </row>
    <row r="935" spans="1:13" ht="57">
      <c r="A935" s="199">
        <v>934</v>
      </c>
      <c r="B935" s="199" t="s">
        <v>4276</v>
      </c>
      <c r="C935" s="199" t="s">
        <v>34</v>
      </c>
      <c r="D935" s="199" t="s">
        <v>35</v>
      </c>
      <c r="E935" s="199">
        <v>6</v>
      </c>
      <c r="F935" s="199" t="s">
        <v>756</v>
      </c>
      <c r="G935" s="199" t="s">
        <v>4112</v>
      </c>
      <c r="H935" s="200">
        <v>408.54</v>
      </c>
      <c r="I935" s="199"/>
      <c r="J935" s="199"/>
      <c r="K935" s="199"/>
      <c r="L935" s="199"/>
      <c r="M935" s="199" t="s">
        <v>3320</v>
      </c>
    </row>
    <row r="936" spans="1:13" ht="85.5">
      <c r="A936" s="199">
        <v>935</v>
      </c>
      <c r="B936" s="199" t="s">
        <v>4277</v>
      </c>
      <c r="C936" s="199" t="s">
        <v>34</v>
      </c>
      <c r="D936" s="199" t="s">
        <v>35</v>
      </c>
      <c r="E936" s="199">
        <v>6</v>
      </c>
      <c r="F936" s="199" t="s">
        <v>679</v>
      </c>
      <c r="G936" s="199" t="s">
        <v>4112</v>
      </c>
      <c r="H936" s="200">
        <v>188.58</v>
      </c>
      <c r="I936" s="199"/>
      <c r="J936" s="199"/>
      <c r="K936" s="199"/>
      <c r="L936" s="199"/>
      <c r="M936" s="199" t="s">
        <v>3320</v>
      </c>
    </row>
    <row r="937" spans="1:13" ht="85.5">
      <c r="A937" s="199">
        <v>936</v>
      </c>
      <c r="B937" s="199" t="s">
        <v>4278</v>
      </c>
      <c r="C937" s="199" t="s">
        <v>34</v>
      </c>
      <c r="D937" s="199" t="s">
        <v>35</v>
      </c>
      <c r="E937" s="199">
        <v>6</v>
      </c>
      <c r="F937" s="199" t="s">
        <v>679</v>
      </c>
      <c r="G937" s="199" t="s">
        <v>4112</v>
      </c>
      <c r="H937" s="200">
        <v>188.58</v>
      </c>
      <c r="I937" s="199"/>
      <c r="J937" s="199"/>
      <c r="K937" s="199"/>
      <c r="L937" s="199"/>
      <c r="M937" s="199" t="s">
        <v>3320</v>
      </c>
    </row>
    <row r="938" spans="1:13" ht="57">
      <c r="A938" s="199">
        <v>937</v>
      </c>
      <c r="B938" s="199" t="s">
        <v>4279</v>
      </c>
      <c r="C938" s="199" t="s">
        <v>34</v>
      </c>
      <c r="D938" s="199" t="s">
        <v>35</v>
      </c>
      <c r="E938" s="199">
        <v>2</v>
      </c>
      <c r="F938" s="199" t="s">
        <v>8</v>
      </c>
      <c r="G938" s="199" t="s">
        <v>4112</v>
      </c>
      <c r="H938" s="200">
        <v>209.5</v>
      </c>
      <c r="I938" s="199"/>
      <c r="J938" s="199"/>
      <c r="K938" s="199"/>
      <c r="L938" s="199"/>
      <c r="M938" s="199" t="s">
        <v>3320</v>
      </c>
    </row>
    <row r="939" spans="1:13" ht="99.75">
      <c r="A939" s="199">
        <v>938</v>
      </c>
      <c r="B939" s="199" t="s">
        <v>4280</v>
      </c>
      <c r="C939" s="199" t="s">
        <v>34</v>
      </c>
      <c r="D939" s="199" t="s">
        <v>35</v>
      </c>
      <c r="E939" s="199">
        <v>200</v>
      </c>
      <c r="F939" s="199" t="s">
        <v>756</v>
      </c>
      <c r="G939" s="199" t="s">
        <v>4112</v>
      </c>
      <c r="H939" s="200">
        <v>250</v>
      </c>
      <c r="I939" s="199"/>
      <c r="J939" s="199"/>
      <c r="K939" s="199"/>
      <c r="L939" s="199"/>
      <c r="M939" s="199" t="s">
        <v>3320</v>
      </c>
    </row>
    <row r="940" spans="1:13" ht="57">
      <c r="A940" s="199">
        <v>939</v>
      </c>
      <c r="B940" s="199" t="s">
        <v>4281</v>
      </c>
      <c r="C940" s="199" t="s">
        <v>34</v>
      </c>
      <c r="D940" s="199" t="s">
        <v>35</v>
      </c>
      <c r="E940" s="199">
        <v>30</v>
      </c>
      <c r="F940" s="199" t="s">
        <v>756</v>
      </c>
      <c r="G940" s="199" t="s">
        <v>4112</v>
      </c>
      <c r="H940" s="200">
        <v>541.79999999999995</v>
      </c>
      <c r="I940" s="199"/>
      <c r="J940" s="199"/>
      <c r="K940" s="199"/>
      <c r="L940" s="199"/>
      <c r="M940" s="199" t="s">
        <v>3320</v>
      </c>
    </row>
    <row r="941" spans="1:13" ht="57">
      <c r="A941" s="199">
        <v>940</v>
      </c>
      <c r="B941" s="199" t="s">
        <v>4282</v>
      </c>
      <c r="C941" s="199" t="s">
        <v>34</v>
      </c>
      <c r="D941" s="199" t="s">
        <v>35</v>
      </c>
      <c r="E941" s="199">
        <v>5</v>
      </c>
      <c r="F941" s="199" t="s">
        <v>679</v>
      </c>
      <c r="G941" s="199" t="s">
        <v>4112</v>
      </c>
      <c r="H941" s="200">
        <v>183.3</v>
      </c>
      <c r="I941" s="199"/>
      <c r="J941" s="199"/>
      <c r="K941" s="199"/>
      <c r="L941" s="199"/>
      <c r="M941" s="199" t="s">
        <v>3320</v>
      </c>
    </row>
    <row r="942" spans="1:13" ht="85.5">
      <c r="A942" s="199">
        <v>941</v>
      </c>
      <c r="B942" s="199" t="s">
        <v>4283</v>
      </c>
      <c r="C942" s="199" t="s">
        <v>34</v>
      </c>
      <c r="D942" s="199" t="s">
        <v>35</v>
      </c>
      <c r="E942" s="199">
        <v>100</v>
      </c>
      <c r="F942" s="199" t="s">
        <v>756</v>
      </c>
      <c r="G942" s="199" t="s">
        <v>4112</v>
      </c>
      <c r="H942" s="200">
        <v>1048</v>
      </c>
      <c r="I942" s="199"/>
      <c r="J942" s="199"/>
      <c r="K942" s="199"/>
      <c r="L942" s="199"/>
      <c r="M942" s="199" t="s">
        <v>3320</v>
      </c>
    </row>
    <row r="943" spans="1:13" ht="85.5">
      <c r="A943" s="199">
        <v>942</v>
      </c>
      <c r="B943" s="199" t="s">
        <v>4284</v>
      </c>
      <c r="C943" s="199" t="s">
        <v>34</v>
      </c>
      <c r="D943" s="199" t="s">
        <v>35</v>
      </c>
      <c r="E943" s="199">
        <v>100</v>
      </c>
      <c r="F943" s="199" t="s">
        <v>756</v>
      </c>
      <c r="G943" s="199" t="s">
        <v>4112</v>
      </c>
      <c r="H943" s="200">
        <v>1100</v>
      </c>
      <c r="I943" s="199"/>
      <c r="J943" s="199"/>
      <c r="K943" s="199"/>
      <c r="L943" s="199"/>
      <c r="M943" s="199" t="s">
        <v>3320</v>
      </c>
    </row>
    <row r="944" spans="1:13" ht="57">
      <c r="A944" s="199">
        <v>943</v>
      </c>
      <c r="B944" s="199" t="s">
        <v>4285</v>
      </c>
      <c r="C944" s="199" t="s">
        <v>34</v>
      </c>
      <c r="D944" s="199" t="s">
        <v>35</v>
      </c>
      <c r="E944" s="199">
        <v>10</v>
      </c>
      <c r="F944" s="199" t="s">
        <v>756</v>
      </c>
      <c r="G944" s="199" t="s">
        <v>4112</v>
      </c>
      <c r="H944" s="200">
        <v>78.599999999999994</v>
      </c>
      <c r="I944" s="199"/>
      <c r="J944" s="199"/>
      <c r="K944" s="199"/>
      <c r="L944" s="199"/>
      <c r="M944" s="199" t="s">
        <v>3320</v>
      </c>
    </row>
    <row r="945" spans="1:13" ht="57">
      <c r="A945" s="199">
        <v>944</v>
      </c>
      <c r="B945" s="199" t="s">
        <v>4286</v>
      </c>
      <c r="C945" s="199" t="s">
        <v>34</v>
      </c>
      <c r="D945" s="199" t="s">
        <v>35</v>
      </c>
      <c r="E945" s="199">
        <v>10</v>
      </c>
      <c r="F945" s="199" t="s">
        <v>756</v>
      </c>
      <c r="G945" s="199" t="s">
        <v>4112</v>
      </c>
      <c r="H945" s="200">
        <v>52.4</v>
      </c>
      <c r="I945" s="199"/>
      <c r="J945" s="199"/>
      <c r="K945" s="199"/>
      <c r="L945" s="199"/>
      <c r="M945" s="199" t="s">
        <v>3320</v>
      </c>
    </row>
    <row r="946" spans="1:13" ht="57">
      <c r="A946" s="199">
        <v>945</v>
      </c>
      <c r="B946" s="199" t="s">
        <v>4287</v>
      </c>
      <c r="C946" s="199" t="s">
        <v>34</v>
      </c>
      <c r="D946" s="199" t="s">
        <v>35</v>
      </c>
      <c r="E946" s="199">
        <v>10</v>
      </c>
      <c r="F946" s="199" t="s">
        <v>756</v>
      </c>
      <c r="G946" s="199" t="s">
        <v>4112</v>
      </c>
      <c r="H946" s="200">
        <v>65.5</v>
      </c>
      <c r="I946" s="199"/>
      <c r="J946" s="199"/>
      <c r="K946" s="199"/>
      <c r="L946" s="199"/>
      <c r="M946" s="199" t="s">
        <v>3320</v>
      </c>
    </row>
    <row r="947" spans="1:13" ht="57">
      <c r="A947" s="199">
        <v>946</v>
      </c>
      <c r="B947" s="199" t="s">
        <v>4288</v>
      </c>
      <c r="C947" s="199" t="s">
        <v>34</v>
      </c>
      <c r="D947" s="199" t="s">
        <v>35</v>
      </c>
      <c r="E947" s="199">
        <v>10</v>
      </c>
      <c r="F947" s="199" t="s">
        <v>756</v>
      </c>
      <c r="G947" s="199" t="s">
        <v>4112</v>
      </c>
      <c r="H947" s="200">
        <v>78.599999999999994</v>
      </c>
      <c r="I947" s="199"/>
      <c r="J947" s="199"/>
      <c r="K947" s="199"/>
      <c r="L947" s="199"/>
      <c r="M947" s="199" t="s">
        <v>3320</v>
      </c>
    </row>
    <row r="948" spans="1:13" ht="57">
      <c r="A948" s="199">
        <v>947</v>
      </c>
      <c r="B948" s="199" t="s">
        <v>4289</v>
      </c>
      <c r="C948" s="199" t="s">
        <v>34</v>
      </c>
      <c r="D948" s="199" t="s">
        <v>35</v>
      </c>
      <c r="E948" s="199">
        <v>10</v>
      </c>
      <c r="F948" s="199" t="s">
        <v>756</v>
      </c>
      <c r="G948" s="199" t="s">
        <v>4112</v>
      </c>
      <c r="H948" s="200">
        <v>144.1</v>
      </c>
      <c r="I948" s="199"/>
      <c r="J948" s="199"/>
      <c r="K948" s="199"/>
      <c r="L948" s="199"/>
      <c r="M948" s="199" t="s">
        <v>3320</v>
      </c>
    </row>
    <row r="949" spans="1:13" ht="57">
      <c r="A949" s="199">
        <v>948</v>
      </c>
      <c r="B949" s="199" t="s">
        <v>4290</v>
      </c>
      <c r="C949" s="199" t="s">
        <v>34</v>
      </c>
      <c r="D949" s="199" t="s">
        <v>35</v>
      </c>
      <c r="E949" s="199">
        <v>10</v>
      </c>
      <c r="F949" s="199" t="s">
        <v>756</v>
      </c>
      <c r="G949" s="199" t="s">
        <v>4112</v>
      </c>
      <c r="H949" s="200">
        <v>94.3</v>
      </c>
      <c r="I949" s="199"/>
      <c r="J949" s="199"/>
      <c r="K949" s="199"/>
      <c r="L949" s="199"/>
      <c r="M949" s="199" t="s">
        <v>3320</v>
      </c>
    </row>
    <row r="950" spans="1:13" ht="57">
      <c r="A950" s="199">
        <v>949</v>
      </c>
      <c r="B950" s="199" t="s">
        <v>4291</v>
      </c>
      <c r="C950" s="199" t="s">
        <v>34</v>
      </c>
      <c r="D950" s="199" t="s">
        <v>35</v>
      </c>
      <c r="E950" s="199">
        <v>10</v>
      </c>
      <c r="F950" s="199" t="s">
        <v>756</v>
      </c>
      <c r="G950" s="199" t="s">
        <v>4112</v>
      </c>
      <c r="H950" s="200">
        <v>86.4</v>
      </c>
      <c r="I950" s="199"/>
      <c r="J950" s="199"/>
      <c r="K950" s="199"/>
      <c r="L950" s="199"/>
      <c r="M950" s="199" t="s">
        <v>3320</v>
      </c>
    </row>
    <row r="951" spans="1:13" ht="57">
      <c r="A951" s="199">
        <v>950</v>
      </c>
      <c r="B951" s="199" t="s">
        <v>4292</v>
      </c>
      <c r="C951" s="199" t="s">
        <v>34</v>
      </c>
      <c r="D951" s="199" t="s">
        <v>35</v>
      </c>
      <c r="E951" s="199">
        <v>10</v>
      </c>
      <c r="F951" s="199" t="s">
        <v>756</v>
      </c>
      <c r="G951" s="199" t="s">
        <v>4112</v>
      </c>
      <c r="H951" s="200">
        <v>130.9</v>
      </c>
      <c r="I951" s="199"/>
      <c r="J951" s="199"/>
      <c r="K951" s="199"/>
      <c r="L951" s="199"/>
      <c r="M951" s="199" t="s">
        <v>3320</v>
      </c>
    </row>
    <row r="952" spans="1:13" ht="85.5">
      <c r="A952" s="199">
        <v>951</v>
      </c>
      <c r="B952" s="199" t="s">
        <v>4293</v>
      </c>
      <c r="C952" s="199" t="s">
        <v>34</v>
      </c>
      <c r="D952" s="199" t="s">
        <v>35</v>
      </c>
      <c r="E952" s="199">
        <v>30</v>
      </c>
      <c r="F952" s="199" t="s">
        <v>756</v>
      </c>
      <c r="G952" s="199" t="s">
        <v>4112</v>
      </c>
      <c r="H952" s="200">
        <v>471.3</v>
      </c>
      <c r="I952" s="199"/>
      <c r="J952" s="199"/>
      <c r="K952" s="199"/>
      <c r="L952" s="199"/>
      <c r="M952" s="199" t="s">
        <v>3320</v>
      </c>
    </row>
    <row r="953" spans="1:13" ht="85.5">
      <c r="A953" s="199">
        <v>952</v>
      </c>
      <c r="B953" s="199" t="s">
        <v>4294</v>
      </c>
      <c r="C953" s="199" t="s">
        <v>34</v>
      </c>
      <c r="D953" s="199" t="s">
        <v>35</v>
      </c>
      <c r="E953" s="199">
        <v>30</v>
      </c>
      <c r="F953" s="199" t="s">
        <v>756</v>
      </c>
      <c r="G953" s="199" t="s">
        <v>4112</v>
      </c>
      <c r="H953" s="200">
        <v>942.9</v>
      </c>
      <c r="I953" s="199"/>
      <c r="J953" s="199"/>
      <c r="K953" s="199"/>
      <c r="L953" s="199"/>
      <c r="M953" s="199" t="s">
        <v>3320</v>
      </c>
    </row>
    <row r="954" spans="1:13" ht="85.5">
      <c r="A954" s="199">
        <v>953</v>
      </c>
      <c r="B954" s="199" t="s">
        <v>4295</v>
      </c>
      <c r="C954" s="199" t="s">
        <v>34</v>
      </c>
      <c r="D954" s="199" t="s">
        <v>35</v>
      </c>
      <c r="E954" s="199">
        <v>30</v>
      </c>
      <c r="F954" s="199" t="s">
        <v>756</v>
      </c>
      <c r="G954" s="199" t="s">
        <v>4112</v>
      </c>
      <c r="H954" s="200">
        <v>2356.8000000000002</v>
      </c>
      <c r="I954" s="199"/>
      <c r="J954" s="199"/>
      <c r="K954" s="199"/>
      <c r="L954" s="199"/>
      <c r="M954" s="199" t="s">
        <v>3320</v>
      </c>
    </row>
    <row r="955" spans="1:13" ht="99.75">
      <c r="A955" s="199">
        <v>954</v>
      </c>
      <c r="B955" s="199" t="s">
        <v>4296</v>
      </c>
      <c r="C955" s="199" t="s">
        <v>34</v>
      </c>
      <c r="D955" s="199" t="s">
        <v>35</v>
      </c>
      <c r="E955" s="199">
        <v>12</v>
      </c>
      <c r="F955" s="199" t="s">
        <v>756</v>
      </c>
      <c r="G955" s="199" t="s">
        <v>4112</v>
      </c>
      <c r="H955" s="200">
        <v>659.88</v>
      </c>
      <c r="I955" s="199"/>
      <c r="J955" s="199"/>
      <c r="K955" s="199"/>
      <c r="L955" s="199"/>
      <c r="M955" s="199" t="s">
        <v>3320</v>
      </c>
    </row>
    <row r="956" spans="1:13" ht="57">
      <c r="A956" s="199">
        <v>955</v>
      </c>
      <c r="B956" s="199" t="s">
        <v>4297</v>
      </c>
      <c r="C956" s="199" t="s">
        <v>34</v>
      </c>
      <c r="D956" s="199" t="s">
        <v>35</v>
      </c>
      <c r="E956" s="199">
        <v>12</v>
      </c>
      <c r="F956" s="199" t="s">
        <v>8</v>
      </c>
      <c r="G956" s="199" t="s">
        <v>4112</v>
      </c>
      <c r="H956" s="200">
        <v>113.16</v>
      </c>
      <c r="I956" s="199"/>
      <c r="J956" s="199"/>
      <c r="K956" s="199"/>
      <c r="L956" s="199"/>
      <c r="M956" s="199" t="s">
        <v>3320</v>
      </c>
    </row>
    <row r="957" spans="1:13" ht="71.25">
      <c r="A957" s="199">
        <v>956</v>
      </c>
      <c r="B957" s="199" t="s">
        <v>4298</v>
      </c>
      <c r="C957" s="199" t="s">
        <v>34</v>
      </c>
      <c r="D957" s="199" t="s">
        <v>35</v>
      </c>
      <c r="E957" s="199">
        <v>6</v>
      </c>
      <c r="F957" s="199" t="s">
        <v>679</v>
      </c>
      <c r="G957" s="199" t="s">
        <v>4112</v>
      </c>
      <c r="H957" s="200">
        <v>1131.3</v>
      </c>
      <c r="I957" s="199"/>
      <c r="J957" s="199"/>
      <c r="K957" s="199"/>
      <c r="L957" s="199"/>
      <c r="M957" s="199" t="s">
        <v>3320</v>
      </c>
    </row>
    <row r="958" spans="1:13" ht="57">
      <c r="A958" s="199">
        <v>957</v>
      </c>
      <c r="B958" s="199" t="s">
        <v>4299</v>
      </c>
      <c r="C958" s="199" t="s">
        <v>34</v>
      </c>
      <c r="D958" s="199" t="s">
        <v>35</v>
      </c>
      <c r="E958" s="199">
        <v>3</v>
      </c>
      <c r="F958" s="199" t="s">
        <v>928</v>
      </c>
      <c r="G958" s="199" t="s">
        <v>4112</v>
      </c>
      <c r="H958" s="200">
        <v>978.24</v>
      </c>
      <c r="I958" s="199"/>
      <c r="J958" s="199"/>
      <c r="K958" s="199"/>
      <c r="L958" s="199"/>
      <c r="M958" s="199" t="s">
        <v>3320</v>
      </c>
    </row>
    <row r="959" spans="1:13" ht="57">
      <c r="A959" s="199">
        <v>958</v>
      </c>
      <c r="B959" s="199" t="s">
        <v>4300</v>
      </c>
      <c r="C959" s="199" t="s">
        <v>34</v>
      </c>
      <c r="D959" s="199" t="s">
        <v>35</v>
      </c>
      <c r="E959" s="199">
        <v>6</v>
      </c>
      <c r="F959" s="199" t="s">
        <v>756</v>
      </c>
      <c r="G959" s="199" t="s">
        <v>4112</v>
      </c>
      <c r="H959" s="200">
        <v>90.3</v>
      </c>
      <c r="I959" s="199"/>
      <c r="J959" s="199"/>
      <c r="K959" s="199"/>
      <c r="L959" s="199"/>
      <c r="M959" s="199" t="s">
        <v>3320</v>
      </c>
    </row>
    <row r="960" spans="1:13" ht="57">
      <c r="A960" s="199">
        <v>959</v>
      </c>
      <c r="B960" s="199" t="s">
        <v>4301</v>
      </c>
      <c r="C960" s="199" t="s">
        <v>34</v>
      </c>
      <c r="D960" s="199" t="s">
        <v>35</v>
      </c>
      <c r="E960" s="199">
        <v>6</v>
      </c>
      <c r="F960" s="199" t="s">
        <v>756</v>
      </c>
      <c r="G960" s="199" t="s">
        <v>4112</v>
      </c>
      <c r="H960" s="200">
        <v>125.7</v>
      </c>
      <c r="I960" s="199"/>
      <c r="J960" s="199"/>
      <c r="K960" s="199"/>
      <c r="L960" s="199"/>
      <c r="M960" s="199" t="s">
        <v>3320</v>
      </c>
    </row>
    <row r="961" spans="1:13" ht="57">
      <c r="A961" s="199">
        <v>960</v>
      </c>
      <c r="B961" s="199" t="s">
        <v>4302</v>
      </c>
      <c r="C961" s="199" t="s">
        <v>34</v>
      </c>
      <c r="D961" s="199" t="s">
        <v>35</v>
      </c>
      <c r="E961" s="199">
        <v>6</v>
      </c>
      <c r="F961" s="199" t="s">
        <v>756</v>
      </c>
      <c r="G961" s="199" t="s">
        <v>4112</v>
      </c>
      <c r="H961" s="200">
        <v>125.7</v>
      </c>
      <c r="I961" s="199"/>
      <c r="J961" s="199"/>
      <c r="K961" s="199"/>
      <c r="L961" s="199"/>
      <c r="M961" s="199" t="s">
        <v>3320</v>
      </c>
    </row>
    <row r="962" spans="1:13" ht="57">
      <c r="A962" s="199">
        <v>961</v>
      </c>
      <c r="B962" s="199" t="s">
        <v>4303</v>
      </c>
      <c r="C962" s="199" t="s">
        <v>34</v>
      </c>
      <c r="D962" s="199" t="s">
        <v>35</v>
      </c>
      <c r="E962" s="199">
        <v>6</v>
      </c>
      <c r="F962" s="199" t="s">
        <v>756</v>
      </c>
      <c r="G962" s="199" t="s">
        <v>4112</v>
      </c>
      <c r="H962" s="200">
        <v>125.7</v>
      </c>
      <c r="I962" s="199"/>
      <c r="J962" s="199"/>
      <c r="K962" s="199"/>
      <c r="L962" s="199"/>
      <c r="M962" s="199" t="s">
        <v>3320</v>
      </c>
    </row>
    <row r="963" spans="1:13" ht="71.25">
      <c r="A963" s="199">
        <v>962</v>
      </c>
      <c r="B963" s="199" t="s">
        <v>4304</v>
      </c>
      <c r="C963" s="199" t="s">
        <v>34</v>
      </c>
      <c r="D963" s="199" t="s">
        <v>35</v>
      </c>
      <c r="E963" s="199">
        <v>5</v>
      </c>
      <c r="F963" s="199" t="s">
        <v>928</v>
      </c>
      <c r="G963" s="199" t="s">
        <v>4112</v>
      </c>
      <c r="H963" s="200">
        <v>2006.65</v>
      </c>
      <c r="I963" s="199"/>
      <c r="J963" s="199"/>
      <c r="K963" s="199"/>
      <c r="L963" s="199"/>
      <c r="M963" s="199" t="s">
        <v>3320</v>
      </c>
    </row>
    <row r="964" spans="1:13" ht="57">
      <c r="A964" s="199">
        <v>963</v>
      </c>
      <c r="B964" s="199" t="s">
        <v>4305</v>
      </c>
      <c r="C964" s="199" t="s">
        <v>34</v>
      </c>
      <c r="D964" s="199" t="s">
        <v>35</v>
      </c>
      <c r="E964" s="199">
        <v>3</v>
      </c>
      <c r="F964" s="199" t="s">
        <v>756</v>
      </c>
      <c r="G964" s="199" t="s">
        <v>4112</v>
      </c>
      <c r="H964" s="200">
        <v>602.01</v>
      </c>
      <c r="I964" s="199"/>
      <c r="J964" s="199"/>
      <c r="K964" s="199"/>
      <c r="L964" s="199"/>
      <c r="M964" s="199" t="s">
        <v>3320</v>
      </c>
    </row>
    <row r="965" spans="1:13" ht="71.25">
      <c r="A965" s="199">
        <v>964</v>
      </c>
      <c r="B965" s="199" t="s">
        <v>4306</v>
      </c>
      <c r="C965" s="199" t="s">
        <v>34</v>
      </c>
      <c r="D965" s="199" t="s">
        <v>35</v>
      </c>
      <c r="E965" s="199">
        <v>3</v>
      </c>
      <c r="F965" s="199" t="s">
        <v>756</v>
      </c>
      <c r="G965" s="199" t="s">
        <v>4112</v>
      </c>
      <c r="H965" s="200">
        <v>353.52</v>
      </c>
      <c r="I965" s="199"/>
      <c r="J965" s="199"/>
      <c r="K965" s="199"/>
      <c r="L965" s="199"/>
      <c r="M965" s="199" t="s">
        <v>3320</v>
      </c>
    </row>
    <row r="966" spans="1:13" ht="57">
      <c r="A966" s="199">
        <v>965</v>
      </c>
      <c r="B966" s="199" t="s">
        <v>4307</v>
      </c>
      <c r="C966" s="199" t="s">
        <v>34</v>
      </c>
      <c r="D966" s="199" t="s">
        <v>35</v>
      </c>
      <c r="E966" s="199">
        <v>5</v>
      </c>
      <c r="F966" s="199" t="s">
        <v>679</v>
      </c>
      <c r="G966" s="199" t="s">
        <v>4112</v>
      </c>
      <c r="H966" s="200">
        <v>471.35</v>
      </c>
      <c r="I966" s="199"/>
      <c r="J966" s="199"/>
      <c r="K966" s="199"/>
      <c r="L966" s="199"/>
      <c r="M966" s="199" t="s">
        <v>3320</v>
      </c>
    </row>
    <row r="967" spans="1:13" ht="57">
      <c r="A967" s="199">
        <v>966</v>
      </c>
      <c r="B967" s="199" t="s">
        <v>4308</v>
      </c>
      <c r="C967" s="199" t="s">
        <v>34</v>
      </c>
      <c r="D967" s="199" t="s">
        <v>35</v>
      </c>
      <c r="E967" s="199">
        <v>5</v>
      </c>
      <c r="F967" s="199" t="s">
        <v>928</v>
      </c>
      <c r="G967" s="199" t="s">
        <v>4112</v>
      </c>
      <c r="H967" s="200">
        <v>785.6</v>
      </c>
      <c r="I967" s="199"/>
      <c r="J967" s="199"/>
      <c r="K967" s="199"/>
      <c r="L967" s="199"/>
      <c r="M967" s="199" t="s">
        <v>3320</v>
      </c>
    </row>
    <row r="968" spans="1:13" ht="85.5">
      <c r="A968" s="199">
        <v>967</v>
      </c>
      <c r="B968" s="199" t="s">
        <v>4309</v>
      </c>
      <c r="C968" s="199" t="s">
        <v>34</v>
      </c>
      <c r="D968" s="199" t="s">
        <v>35</v>
      </c>
      <c r="E968" s="199">
        <v>75</v>
      </c>
      <c r="F968" s="199" t="s">
        <v>591</v>
      </c>
      <c r="G968" s="199" t="s">
        <v>4112</v>
      </c>
      <c r="H968" s="200">
        <v>1881</v>
      </c>
      <c r="I968" s="199"/>
      <c r="J968" s="199"/>
      <c r="K968" s="199"/>
      <c r="L968" s="199"/>
      <c r="M968" s="199" t="s">
        <v>3320</v>
      </c>
    </row>
    <row r="969" spans="1:13" ht="85.5">
      <c r="A969" s="199">
        <v>968</v>
      </c>
      <c r="B969" s="199" t="s">
        <v>4310</v>
      </c>
      <c r="C969" s="199" t="s">
        <v>34</v>
      </c>
      <c r="D969" s="199" t="s">
        <v>35</v>
      </c>
      <c r="E969" s="199">
        <v>75</v>
      </c>
      <c r="F969" s="199" t="s">
        <v>591</v>
      </c>
      <c r="G969" s="199" t="s">
        <v>4112</v>
      </c>
      <c r="H969" s="200">
        <v>1881</v>
      </c>
      <c r="I969" s="199"/>
      <c r="J969" s="199"/>
      <c r="K969" s="199"/>
      <c r="L969" s="199"/>
      <c r="M969" s="199" t="s">
        <v>3320</v>
      </c>
    </row>
    <row r="970" spans="1:13" ht="71.25">
      <c r="A970" s="199">
        <v>969</v>
      </c>
      <c r="B970" s="199" t="s">
        <v>4311</v>
      </c>
      <c r="C970" s="199" t="s">
        <v>34</v>
      </c>
      <c r="D970" s="199" t="s">
        <v>35</v>
      </c>
      <c r="E970" s="199">
        <v>75</v>
      </c>
      <c r="F970" s="199" t="s">
        <v>591</v>
      </c>
      <c r="G970" s="199" t="s">
        <v>4112</v>
      </c>
      <c r="H970" s="200">
        <v>3612</v>
      </c>
      <c r="I970" s="199"/>
      <c r="J970" s="199"/>
      <c r="K970" s="199"/>
      <c r="L970" s="199"/>
      <c r="M970" s="199" t="s">
        <v>3320</v>
      </c>
    </row>
    <row r="971" spans="1:13" ht="57">
      <c r="A971" s="199">
        <v>970</v>
      </c>
      <c r="B971" s="199" t="s">
        <v>4312</v>
      </c>
      <c r="C971" s="199" t="s">
        <v>34</v>
      </c>
      <c r="D971" s="199" t="s">
        <v>35</v>
      </c>
      <c r="E971" s="199">
        <v>300</v>
      </c>
      <c r="F971" s="199" t="s">
        <v>8</v>
      </c>
      <c r="G971" s="199" t="s">
        <v>4112</v>
      </c>
      <c r="H971" s="200">
        <v>993</v>
      </c>
      <c r="I971" s="199"/>
      <c r="J971" s="199"/>
      <c r="K971" s="199"/>
      <c r="L971" s="199"/>
      <c r="M971" s="199" t="s">
        <v>3320</v>
      </c>
    </row>
    <row r="972" spans="1:13" ht="85.5">
      <c r="A972" s="199">
        <v>971</v>
      </c>
      <c r="B972" s="199" t="s">
        <v>4313</v>
      </c>
      <c r="C972" s="199" t="s">
        <v>34</v>
      </c>
      <c r="D972" s="199" t="s">
        <v>35</v>
      </c>
      <c r="E972" s="199">
        <v>300</v>
      </c>
      <c r="F972" s="199" t="s">
        <v>756</v>
      </c>
      <c r="G972" s="199" t="s">
        <v>4112</v>
      </c>
      <c r="H972" s="200">
        <v>3009</v>
      </c>
      <c r="I972" s="199"/>
      <c r="J972" s="199"/>
      <c r="K972" s="199"/>
      <c r="L972" s="199"/>
      <c r="M972" s="199" t="s">
        <v>3320</v>
      </c>
    </row>
    <row r="973" spans="1:13" ht="71.25">
      <c r="A973" s="199">
        <v>972</v>
      </c>
      <c r="B973" s="199" t="s">
        <v>4314</v>
      </c>
      <c r="C973" s="199" t="s">
        <v>34</v>
      </c>
      <c r="D973" s="199" t="s">
        <v>35</v>
      </c>
      <c r="E973" s="199">
        <v>300</v>
      </c>
      <c r="F973" s="199" t="s">
        <v>756</v>
      </c>
      <c r="G973" s="199" t="s">
        <v>4112</v>
      </c>
      <c r="H973" s="200">
        <v>993</v>
      </c>
      <c r="I973" s="199"/>
      <c r="J973" s="199"/>
      <c r="K973" s="199"/>
      <c r="L973" s="199"/>
      <c r="M973" s="199" t="s">
        <v>3320</v>
      </c>
    </row>
    <row r="974" spans="1:13" ht="156.75">
      <c r="A974" s="199">
        <v>973</v>
      </c>
      <c r="B974" s="199" t="s">
        <v>4315</v>
      </c>
      <c r="C974" s="199" t="s">
        <v>34</v>
      </c>
      <c r="D974" s="199" t="s">
        <v>35</v>
      </c>
      <c r="E974" s="199">
        <v>300</v>
      </c>
      <c r="F974" s="199" t="s">
        <v>756</v>
      </c>
      <c r="G974" s="199" t="s">
        <v>4112</v>
      </c>
      <c r="H974" s="200">
        <v>2709</v>
      </c>
      <c r="I974" s="199"/>
      <c r="J974" s="199"/>
      <c r="K974" s="199"/>
      <c r="L974" s="199"/>
      <c r="M974" s="199" t="s">
        <v>3320</v>
      </c>
    </row>
    <row r="975" spans="1:13" ht="71.25">
      <c r="A975" s="199">
        <v>974</v>
      </c>
      <c r="B975" s="199" t="s">
        <v>4316</v>
      </c>
      <c r="C975" s="199" t="s">
        <v>34</v>
      </c>
      <c r="D975" s="199" t="s">
        <v>35</v>
      </c>
      <c r="E975" s="199">
        <v>10</v>
      </c>
      <c r="F975" s="199" t="s">
        <v>756</v>
      </c>
      <c r="G975" s="199" t="s">
        <v>4112</v>
      </c>
      <c r="H975" s="200">
        <v>79.8</v>
      </c>
      <c r="I975" s="199"/>
      <c r="J975" s="199"/>
      <c r="K975" s="199"/>
      <c r="L975" s="199"/>
      <c r="M975" s="199" t="s">
        <v>3320</v>
      </c>
    </row>
    <row r="976" spans="1:13" ht="71.25">
      <c r="A976" s="199">
        <v>975</v>
      </c>
      <c r="B976" s="199" t="s">
        <v>4317</v>
      </c>
      <c r="C976" s="199" t="s">
        <v>34</v>
      </c>
      <c r="D976" s="199" t="s">
        <v>35</v>
      </c>
      <c r="E976" s="199">
        <v>10</v>
      </c>
      <c r="F976" s="199" t="s">
        <v>756</v>
      </c>
      <c r="G976" s="199" t="s">
        <v>4112</v>
      </c>
      <c r="H976" s="200">
        <v>79.8</v>
      </c>
      <c r="I976" s="199"/>
      <c r="J976" s="199"/>
      <c r="K976" s="199"/>
      <c r="L976" s="199"/>
      <c r="M976" s="199" t="s">
        <v>3320</v>
      </c>
    </row>
    <row r="977" spans="1:13" ht="71.25">
      <c r="A977" s="199">
        <v>976</v>
      </c>
      <c r="B977" s="199" t="s">
        <v>4318</v>
      </c>
      <c r="C977" s="199" t="s">
        <v>34</v>
      </c>
      <c r="D977" s="199" t="s">
        <v>35</v>
      </c>
      <c r="E977" s="199">
        <v>10</v>
      </c>
      <c r="F977" s="199" t="s">
        <v>756</v>
      </c>
      <c r="G977" s="199" t="s">
        <v>4112</v>
      </c>
      <c r="H977" s="200">
        <v>79.8</v>
      </c>
      <c r="I977" s="199"/>
      <c r="J977" s="199"/>
      <c r="K977" s="199"/>
      <c r="L977" s="199"/>
      <c r="M977" s="199" t="s">
        <v>3320</v>
      </c>
    </row>
    <row r="978" spans="1:13" ht="71.25">
      <c r="A978" s="199">
        <v>977</v>
      </c>
      <c r="B978" s="199" t="s">
        <v>4319</v>
      </c>
      <c r="C978" s="199" t="s">
        <v>34</v>
      </c>
      <c r="D978" s="199" t="s">
        <v>35</v>
      </c>
      <c r="E978" s="199">
        <v>10</v>
      </c>
      <c r="F978" s="199" t="s">
        <v>756</v>
      </c>
      <c r="G978" s="199" t="s">
        <v>4112</v>
      </c>
      <c r="H978" s="200">
        <v>79.8</v>
      </c>
      <c r="I978" s="199"/>
      <c r="J978" s="199"/>
      <c r="K978" s="199"/>
      <c r="L978" s="199"/>
      <c r="M978" s="199" t="s">
        <v>3320</v>
      </c>
    </row>
    <row r="979" spans="1:13" ht="71.25">
      <c r="A979" s="199">
        <v>978</v>
      </c>
      <c r="B979" s="199" t="s">
        <v>4320</v>
      </c>
      <c r="C979" s="199" t="s">
        <v>34</v>
      </c>
      <c r="D979" s="199" t="s">
        <v>35</v>
      </c>
      <c r="E979" s="199">
        <v>10</v>
      </c>
      <c r="F979" s="199" t="s">
        <v>756</v>
      </c>
      <c r="G979" s="199" t="s">
        <v>4112</v>
      </c>
      <c r="H979" s="200">
        <v>79.8</v>
      </c>
      <c r="I979" s="199"/>
      <c r="J979" s="199"/>
      <c r="K979" s="199"/>
      <c r="L979" s="199"/>
      <c r="M979" s="199" t="s">
        <v>3320</v>
      </c>
    </row>
    <row r="980" spans="1:13" ht="71.25">
      <c r="A980" s="199">
        <v>979</v>
      </c>
      <c r="B980" s="199" t="s">
        <v>4321</v>
      </c>
      <c r="C980" s="199" t="s">
        <v>34</v>
      </c>
      <c r="D980" s="199" t="s">
        <v>35</v>
      </c>
      <c r="E980" s="199">
        <v>10</v>
      </c>
      <c r="F980" s="199" t="s">
        <v>756</v>
      </c>
      <c r="G980" s="199" t="s">
        <v>4112</v>
      </c>
      <c r="H980" s="200">
        <v>79.8</v>
      </c>
      <c r="I980" s="199"/>
      <c r="J980" s="199"/>
      <c r="K980" s="199"/>
      <c r="L980" s="199"/>
      <c r="M980" s="199" t="s">
        <v>3320</v>
      </c>
    </row>
    <row r="981" spans="1:13" ht="142.5">
      <c r="A981" s="199">
        <v>980</v>
      </c>
      <c r="B981" s="199" t="s">
        <v>4322</v>
      </c>
      <c r="C981" s="199" t="s">
        <v>34</v>
      </c>
      <c r="D981" s="199" t="s">
        <v>35</v>
      </c>
      <c r="E981" s="199">
        <v>10</v>
      </c>
      <c r="F981" s="199" t="s">
        <v>8</v>
      </c>
      <c r="G981" s="199" t="s">
        <v>4112</v>
      </c>
      <c r="H981" s="200">
        <v>742.5</v>
      </c>
      <c r="I981" s="199"/>
      <c r="J981" s="199"/>
      <c r="K981" s="199"/>
      <c r="L981" s="199"/>
      <c r="M981" s="199" t="s">
        <v>3320</v>
      </c>
    </row>
    <row r="982" spans="1:13" ht="128.25">
      <c r="A982" s="199">
        <v>981</v>
      </c>
      <c r="B982" s="199" t="s">
        <v>4323</v>
      </c>
      <c r="C982" s="199" t="s">
        <v>25</v>
      </c>
      <c r="D982" s="199" t="s">
        <v>17</v>
      </c>
      <c r="E982" s="199">
        <v>15000</v>
      </c>
      <c r="F982" s="199" t="s">
        <v>255</v>
      </c>
      <c r="G982" s="199" t="s">
        <v>4324</v>
      </c>
      <c r="H982" s="200">
        <v>75600</v>
      </c>
      <c r="I982" s="199" t="s">
        <v>20</v>
      </c>
      <c r="J982" s="199" t="s">
        <v>415</v>
      </c>
      <c r="K982" s="201">
        <v>45474</v>
      </c>
      <c r="L982" s="199" t="s">
        <v>4325</v>
      </c>
      <c r="M982" s="199" t="s">
        <v>3320</v>
      </c>
    </row>
    <row r="983" spans="1:13" ht="128.25">
      <c r="A983" s="199">
        <v>982</v>
      </c>
      <c r="B983" s="199" t="s">
        <v>4326</v>
      </c>
      <c r="C983" s="199" t="s">
        <v>25</v>
      </c>
      <c r="D983" s="199" t="s">
        <v>17</v>
      </c>
      <c r="E983" s="199">
        <v>8000</v>
      </c>
      <c r="F983" s="199" t="s">
        <v>255</v>
      </c>
      <c r="G983" s="199" t="s">
        <v>4324</v>
      </c>
      <c r="H983" s="200">
        <v>40320</v>
      </c>
      <c r="I983" s="199" t="s">
        <v>20</v>
      </c>
      <c r="J983" s="199" t="s">
        <v>415</v>
      </c>
      <c r="K983" s="201">
        <v>45474</v>
      </c>
      <c r="L983" s="199" t="s">
        <v>4325</v>
      </c>
      <c r="M983" s="199" t="s">
        <v>3320</v>
      </c>
    </row>
    <row r="984" spans="1:13" ht="85.5">
      <c r="A984" s="199">
        <v>983</v>
      </c>
      <c r="B984" s="199" t="s">
        <v>4327</v>
      </c>
      <c r="C984" s="199" t="s">
        <v>34</v>
      </c>
      <c r="D984" s="199" t="s">
        <v>35</v>
      </c>
      <c r="E984" s="199">
        <f>75+225</f>
        <v>300</v>
      </c>
      <c r="F984" s="199" t="s">
        <v>2076</v>
      </c>
      <c r="G984" s="199" t="s">
        <v>4324</v>
      </c>
      <c r="H984" s="200">
        <f>E984*8.87</f>
        <v>2660.9999999999995</v>
      </c>
      <c r="I984" s="199" t="s">
        <v>20</v>
      </c>
      <c r="J984" s="199" t="s">
        <v>415</v>
      </c>
      <c r="K984" s="201">
        <v>45474</v>
      </c>
      <c r="L984" s="199" t="s">
        <v>4328</v>
      </c>
      <c r="M984" s="199" t="s">
        <v>3320</v>
      </c>
    </row>
    <row r="985" spans="1:13" ht="85.5">
      <c r="A985" s="199">
        <v>984</v>
      </c>
      <c r="B985" s="199" t="s">
        <v>4329</v>
      </c>
      <c r="C985" s="199" t="s">
        <v>34</v>
      </c>
      <c r="D985" s="199" t="s">
        <v>35</v>
      </c>
      <c r="E985" s="199">
        <v>200</v>
      </c>
      <c r="F985" s="199" t="s">
        <v>1277</v>
      </c>
      <c r="G985" s="199" t="s">
        <v>4324</v>
      </c>
      <c r="H985" s="200">
        <f>E985*41.12</f>
        <v>8224</v>
      </c>
      <c r="I985" s="199" t="s">
        <v>20</v>
      </c>
      <c r="J985" s="199" t="s">
        <v>415</v>
      </c>
      <c r="K985" s="201">
        <v>45474</v>
      </c>
      <c r="L985" s="199" t="s">
        <v>4328</v>
      </c>
      <c r="M985" s="199" t="s">
        <v>3320</v>
      </c>
    </row>
    <row r="986" spans="1:13" ht="85.5">
      <c r="A986" s="199">
        <v>985</v>
      </c>
      <c r="B986" s="199" t="s">
        <v>4330</v>
      </c>
      <c r="C986" s="199" t="s">
        <v>34</v>
      </c>
      <c r="D986" s="199" t="s">
        <v>35</v>
      </c>
      <c r="E986" s="199">
        <f>15+5</f>
        <v>20</v>
      </c>
      <c r="F986" s="199" t="s">
        <v>8</v>
      </c>
      <c r="G986" s="199" t="s">
        <v>4324</v>
      </c>
      <c r="H986" s="200">
        <f>E986*14.71</f>
        <v>294.20000000000005</v>
      </c>
      <c r="I986" s="199" t="s">
        <v>20</v>
      </c>
      <c r="J986" s="199" t="s">
        <v>415</v>
      </c>
      <c r="K986" s="201">
        <v>45474</v>
      </c>
      <c r="L986" s="199" t="s">
        <v>4328</v>
      </c>
      <c r="M986" s="199" t="s">
        <v>3320</v>
      </c>
    </row>
    <row r="987" spans="1:13" ht="85.5">
      <c r="A987" s="199">
        <v>986</v>
      </c>
      <c r="B987" s="199" t="s">
        <v>4331</v>
      </c>
      <c r="C987" s="199" t="s">
        <v>34</v>
      </c>
      <c r="D987" s="199" t="s">
        <v>35</v>
      </c>
      <c r="E987" s="199">
        <v>400</v>
      </c>
      <c r="F987" s="199" t="s">
        <v>8</v>
      </c>
      <c r="G987" s="199" t="s">
        <v>4324</v>
      </c>
      <c r="H987" s="200">
        <f>E987*105</f>
        <v>42000</v>
      </c>
      <c r="I987" s="199" t="s">
        <v>20</v>
      </c>
      <c r="J987" s="199" t="s">
        <v>415</v>
      </c>
      <c r="K987" s="201">
        <v>45474</v>
      </c>
      <c r="L987" s="199" t="s">
        <v>4328</v>
      </c>
      <c r="M987" s="199" t="s">
        <v>3320</v>
      </c>
    </row>
    <row r="988" spans="1:13" ht="85.5">
      <c r="A988" s="199">
        <v>987</v>
      </c>
      <c r="B988" s="199" t="s">
        <v>4332</v>
      </c>
      <c r="C988" s="199" t="s">
        <v>34</v>
      </c>
      <c r="D988" s="199" t="s">
        <v>35</v>
      </c>
      <c r="E988" s="199">
        <v>20</v>
      </c>
      <c r="F988" s="199" t="s">
        <v>8</v>
      </c>
      <c r="G988" s="199" t="s">
        <v>4324</v>
      </c>
      <c r="H988" s="200">
        <f>E988*42</f>
        <v>840</v>
      </c>
      <c r="I988" s="199" t="s">
        <v>20</v>
      </c>
      <c r="J988" s="199" t="s">
        <v>415</v>
      </c>
      <c r="K988" s="201">
        <v>45474</v>
      </c>
      <c r="L988" s="199" t="s">
        <v>4328</v>
      </c>
      <c r="M988" s="199" t="s">
        <v>3320</v>
      </c>
    </row>
    <row r="989" spans="1:13" ht="85.5">
      <c r="A989" s="199">
        <v>988</v>
      </c>
      <c r="B989" s="199" t="s">
        <v>1287</v>
      </c>
      <c r="C989" s="199" t="s">
        <v>34</v>
      </c>
      <c r="D989" s="199" t="s">
        <v>35</v>
      </c>
      <c r="E989" s="199">
        <f>750+2250</f>
        <v>3000</v>
      </c>
      <c r="F989" s="199" t="s">
        <v>890</v>
      </c>
      <c r="G989" s="199" t="s">
        <v>4324</v>
      </c>
      <c r="H989" s="200">
        <f>E989*4.49</f>
        <v>13470</v>
      </c>
      <c r="I989" s="199" t="s">
        <v>20</v>
      </c>
      <c r="J989" s="199" t="s">
        <v>415</v>
      </c>
      <c r="K989" s="201">
        <v>45474</v>
      </c>
      <c r="L989" s="199" t="s">
        <v>4328</v>
      </c>
      <c r="M989" s="199" t="s">
        <v>3320</v>
      </c>
    </row>
    <row r="990" spans="1:13" ht="85.5">
      <c r="A990" s="199">
        <v>989</v>
      </c>
      <c r="B990" s="199" t="s">
        <v>1289</v>
      </c>
      <c r="C990" s="199" t="s">
        <v>34</v>
      </c>
      <c r="D990" s="199" t="s">
        <v>35</v>
      </c>
      <c r="E990" s="199">
        <f>225+75</f>
        <v>300</v>
      </c>
      <c r="F990" s="199" t="s">
        <v>890</v>
      </c>
      <c r="G990" s="199" t="s">
        <v>4324</v>
      </c>
      <c r="H990" s="200">
        <f>E990*2.16</f>
        <v>648</v>
      </c>
      <c r="I990" s="199" t="s">
        <v>20</v>
      </c>
      <c r="J990" s="199" t="s">
        <v>415</v>
      </c>
      <c r="K990" s="201">
        <v>45474</v>
      </c>
      <c r="L990" s="199" t="s">
        <v>4328</v>
      </c>
      <c r="M990" s="199" t="s">
        <v>3320</v>
      </c>
    </row>
    <row r="991" spans="1:13" ht="85.5">
      <c r="A991" s="199">
        <v>990</v>
      </c>
      <c r="B991" s="199" t="s">
        <v>4333</v>
      </c>
      <c r="C991" s="199" t="s">
        <v>34</v>
      </c>
      <c r="D991" s="199" t="s">
        <v>35</v>
      </c>
      <c r="E991" s="199">
        <f>12+38</f>
        <v>50</v>
      </c>
      <c r="F991" s="199" t="s">
        <v>1277</v>
      </c>
      <c r="G991" s="199" t="s">
        <v>4324</v>
      </c>
      <c r="H991" s="200">
        <f>E991*6.3</f>
        <v>315</v>
      </c>
      <c r="I991" s="199" t="s">
        <v>20</v>
      </c>
      <c r="J991" s="199" t="s">
        <v>415</v>
      </c>
      <c r="K991" s="201">
        <v>45474</v>
      </c>
      <c r="L991" s="199" t="s">
        <v>4328</v>
      </c>
      <c r="M991" s="199" t="s">
        <v>3320</v>
      </c>
    </row>
    <row r="992" spans="1:13" ht="85.5">
      <c r="A992" s="199">
        <v>991</v>
      </c>
      <c r="B992" s="199" t="s">
        <v>4334</v>
      </c>
      <c r="C992" s="199" t="s">
        <v>34</v>
      </c>
      <c r="D992" s="199" t="s">
        <v>35</v>
      </c>
      <c r="E992" s="199">
        <f>38+12</f>
        <v>50</v>
      </c>
      <c r="F992" s="199" t="s">
        <v>1277</v>
      </c>
      <c r="G992" s="199" t="s">
        <v>4324</v>
      </c>
      <c r="H992" s="200">
        <f>E992*6.3</f>
        <v>315</v>
      </c>
      <c r="I992" s="199" t="s">
        <v>20</v>
      </c>
      <c r="J992" s="199" t="s">
        <v>415</v>
      </c>
      <c r="K992" s="201">
        <v>45474</v>
      </c>
      <c r="L992" s="199" t="s">
        <v>4328</v>
      </c>
      <c r="M992" s="199" t="s">
        <v>3320</v>
      </c>
    </row>
    <row r="993" spans="1:13" ht="85.5">
      <c r="A993" s="199">
        <v>992</v>
      </c>
      <c r="B993" s="199" t="s">
        <v>4335</v>
      </c>
      <c r="C993" s="199" t="s">
        <v>34</v>
      </c>
      <c r="D993" s="199" t="s">
        <v>35</v>
      </c>
      <c r="E993" s="199">
        <f>38+12</f>
        <v>50</v>
      </c>
      <c r="F993" s="199" t="s">
        <v>988</v>
      </c>
      <c r="G993" s="199" t="s">
        <v>4324</v>
      </c>
      <c r="H993" s="200">
        <f>E993*2.31</f>
        <v>115.5</v>
      </c>
      <c r="I993" s="199" t="s">
        <v>20</v>
      </c>
      <c r="J993" s="199" t="s">
        <v>415</v>
      </c>
      <c r="K993" s="201">
        <v>45474</v>
      </c>
      <c r="L993" s="199" t="s">
        <v>4328</v>
      </c>
      <c r="M993" s="199" t="s">
        <v>3320</v>
      </c>
    </row>
    <row r="994" spans="1:13" ht="85.5">
      <c r="A994" s="199">
        <v>993</v>
      </c>
      <c r="B994" s="199" t="s">
        <v>4336</v>
      </c>
      <c r="C994" s="199" t="s">
        <v>34</v>
      </c>
      <c r="D994" s="199" t="s">
        <v>35</v>
      </c>
      <c r="E994" s="199">
        <f>375+125</f>
        <v>500</v>
      </c>
      <c r="F994" s="199" t="s">
        <v>988</v>
      </c>
      <c r="G994" s="199" t="s">
        <v>4324</v>
      </c>
      <c r="H994" s="200">
        <f>E994*1.68</f>
        <v>840</v>
      </c>
      <c r="I994" s="199" t="s">
        <v>20</v>
      </c>
      <c r="J994" s="199" t="s">
        <v>415</v>
      </c>
      <c r="K994" s="201">
        <v>45474</v>
      </c>
      <c r="L994" s="199" t="s">
        <v>4328</v>
      </c>
      <c r="M994" s="199" t="s">
        <v>3320</v>
      </c>
    </row>
    <row r="995" spans="1:13" ht="85.5">
      <c r="A995" s="199">
        <v>994</v>
      </c>
      <c r="B995" s="199" t="s">
        <v>4337</v>
      </c>
      <c r="C995" s="199" t="s">
        <v>34</v>
      </c>
      <c r="D995" s="199" t="s">
        <v>35</v>
      </c>
      <c r="E995" s="199">
        <f>38+12</f>
        <v>50</v>
      </c>
      <c r="F995" s="199" t="s">
        <v>1277</v>
      </c>
      <c r="G995" s="199" t="s">
        <v>4324</v>
      </c>
      <c r="H995" s="200">
        <f>E995*15.4</f>
        <v>770</v>
      </c>
      <c r="I995" s="199" t="s">
        <v>20</v>
      </c>
      <c r="J995" s="199" t="s">
        <v>415</v>
      </c>
      <c r="K995" s="201">
        <v>45474</v>
      </c>
      <c r="L995" s="199" t="s">
        <v>4328</v>
      </c>
      <c r="M995" s="199" t="s">
        <v>3320</v>
      </c>
    </row>
    <row r="996" spans="1:13" ht="85.5">
      <c r="A996" s="199">
        <v>995</v>
      </c>
      <c r="B996" s="199" t="s">
        <v>4338</v>
      </c>
      <c r="C996" s="199" t="s">
        <v>34</v>
      </c>
      <c r="D996" s="199" t="s">
        <v>35</v>
      </c>
      <c r="E996" s="199">
        <f>10</f>
        <v>10</v>
      </c>
      <c r="F996" s="199" t="s">
        <v>8</v>
      </c>
      <c r="G996" s="199" t="s">
        <v>4324</v>
      </c>
      <c r="H996" s="200">
        <f>E996*2.39</f>
        <v>23.900000000000002</v>
      </c>
      <c r="I996" s="199" t="s">
        <v>20</v>
      </c>
      <c r="J996" s="199" t="s">
        <v>415</v>
      </c>
      <c r="K996" s="201">
        <v>45474</v>
      </c>
      <c r="L996" s="199" t="s">
        <v>4328</v>
      </c>
      <c r="M996" s="199" t="s">
        <v>3320</v>
      </c>
    </row>
    <row r="997" spans="1:13" ht="85.5">
      <c r="A997" s="199">
        <v>996</v>
      </c>
      <c r="B997" s="199" t="s">
        <v>4339</v>
      </c>
      <c r="C997" s="199" t="s">
        <v>34</v>
      </c>
      <c r="D997" s="199" t="s">
        <v>35</v>
      </c>
      <c r="E997" s="199">
        <v>20</v>
      </c>
      <c r="F997" s="199" t="s">
        <v>8</v>
      </c>
      <c r="G997" s="199" t="s">
        <v>4324</v>
      </c>
      <c r="H997" s="200">
        <f>E997*23.78</f>
        <v>475.6</v>
      </c>
      <c r="I997" s="199" t="s">
        <v>20</v>
      </c>
      <c r="J997" s="199" t="s">
        <v>415</v>
      </c>
      <c r="K997" s="201">
        <v>45474</v>
      </c>
      <c r="L997" s="199" t="s">
        <v>4328</v>
      </c>
      <c r="M997" s="199" t="s">
        <v>3320</v>
      </c>
    </row>
    <row r="998" spans="1:13" ht="85.5">
      <c r="A998" s="199">
        <v>997</v>
      </c>
      <c r="B998" s="199" t="s">
        <v>4340</v>
      </c>
      <c r="C998" s="199" t="s">
        <v>34</v>
      </c>
      <c r="D998" s="199" t="s">
        <v>35</v>
      </c>
      <c r="E998" s="199">
        <f>25+75</f>
        <v>100</v>
      </c>
      <c r="F998" s="199" t="s">
        <v>890</v>
      </c>
      <c r="G998" s="199" t="s">
        <v>4324</v>
      </c>
      <c r="H998" s="200">
        <f>E998*2.47</f>
        <v>247.00000000000003</v>
      </c>
      <c r="I998" s="199" t="s">
        <v>20</v>
      </c>
      <c r="J998" s="199" t="s">
        <v>415</v>
      </c>
      <c r="K998" s="201">
        <v>45474</v>
      </c>
      <c r="L998" s="199" t="s">
        <v>4328</v>
      </c>
      <c r="M998" s="199" t="s">
        <v>3320</v>
      </c>
    </row>
    <row r="999" spans="1:13" ht="85.5">
      <c r="A999" s="199">
        <v>998</v>
      </c>
      <c r="B999" s="199" t="s">
        <v>4341</v>
      </c>
      <c r="C999" s="199" t="s">
        <v>34</v>
      </c>
      <c r="D999" s="199" t="s">
        <v>35</v>
      </c>
      <c r="E999" s="199">
        <f>250+750</f>
        <v>1000</v>
      </c>
      <c r="F999" s="199" t="s">
        <v>8</v>
      </c>
      <c r="G999" s="199" t="s">
        <v>4324</v>
      </c>
      <c r="H999" s="200">
        <f>E999*0.75</f>
        <v>750</v>
      </c>
      <c r="I999" s="199" t="s">
        <v>20</v>
      </c>
      <c r="J999" s="199" t="s">
        <v>415</v>
      </c>
      <c r="K999" s="201">
        <v>45474</v>
      </c>
      <c r="L999" s="199" t="s">
        <v>4328</v>
      </c>
      <c r="M999" s="199" t="s">
        <v>3320</v>
      </c>
    </row>
    <row r="1000" spans="1:13" ht="85.5">
      <c r="A1000" s="199">
        <v>999</v>
      </c>
      <c r="B1000" s="199" t="s">
        <v>4342</v>
      </c>
      <c r="C1000" s="199" t="s">
        <v>34</v>
      </c>
      <c r="D1000" s="199" t="s">
        <v>35</v>
      </c>
      <c r="E1000" s="199">
        <f>30+90</f>
        <v>120</v>
      </c>
      <c r="F1000" s="199" t="s">
        <v>890</v>
      </c>
      <c r="G1000" s="199" t="s">
        <v>4324</v>
      </c>
      <c r="H1000" s="200">
        <f>E1000*13.79</f>
        <v>1654.8</v>
      </c>
      <c r="I1000" s="199" t="s">
        <v>20</v>
      </c>
      <c r="J1000" s="199" t="s">
        <v>415</v>
      </c>
      <c r="K1000" s="201">
        <v>45474</v>
      </c>
      <c r="L1000" s="199" t="s">
        <v>4328</v>
      </c>
      <c r="M1000" s="199" t="s">
        <v>3320</v>
      </c>
    </row>
    <row r="1001" spans="1:13" ht="85.5">
      <c r="A1001" s="199">
        <v>1000</v>
      </c>
      <c r="B1001" s="199" t="s">
        <v>4343</v>
      </c>
      <c r="C1001" s="199" t="s">
        <v>34</v>
      </c>
      <c r="D1001" s="199" t="s">
        <v>35</v>
      </c>
      <c r="E1001" s="199">
        <f>4</f>
        <v>4</v>
      </c>
      <c r="F1001" s="199" t="s">
        <v>890</v>
      </c>
      <c r="G1001" s="199" t="s">
        <v>4324</v>
      </c>
      <c r="H1001" s="200">
        <f>E1001*3</f>
        <v>12</v>
      </c>
      <c r="I1001" s="199" t="s">
        <v>20</v>
      </c>
      <c r="J1001" s="199" t="s">
        <v>415</v>
      </c>
      <c r="K1001" s="201">
        <v>45474</v>
      </c>
      <c r="L1001" s="199" t="s">
        <v>4328</v>
      </c>
      <c r="M1001" s="199" t="s">
        <v>3320</v>
      </c>
    </row>
    <row r="1002" spans="1:13" ht="85.5">
      <c r="A1002" s="199">
        <v>1001</v>
      </c>
      <c r="B1002" s="199" t="s">
        <v>4344</v>
      </c>
      <c r="C1002" s="199" t="s">
        <v>34</v>
      </c>
      <c r="D1002" s="199" t="s">
        <v>35</v>
      </c>
      <c r="E1002" s="199">
        <f>12+38</f>
        <v>50</v>
      </c>
      <c r="F1002" s="199" t="s">
        <v>8</v>
      </c>
      <c r="G1002" s="199" t="s">
        <v>4324</v>
      </c>
      <c r="H1002" s="200">
        <f>E1002*9.2</f>
        <v>459.99999999999994</v>
      </c>
      <c r="I1002" s="199" t="s">
        <v>20</v>
      </c>
      <c r="J1002" s="199" t="s">
        <v>415</v>
      </c>
      <c r="K1002" s="201">
        <v>45474</v>
      </c>
      <c r="L1002" s="199" t="s">
        <v>4328</v>
      </c>
      <c r="M1002" s="199" t="s">
        <v>3320</v>
      </c>
    </row>
    <row r="1003" spans="1:13" ht="85.5">
      <c r="A1003" s="199">
        <v>1002</v>
      </c>
      <c r="B1003" s="199" t="s">
        <v>4345</v>
      </c>
      <c r="C1003" s="199" t="s">
        <v>34</v>
      </c>
      <c r="D1003" s="199" t="s">
        <v>35</v>
      </c>
      <c r="E1003" s="199">
        <v>10</v>
      </c>
      <c r="F1003" s="199" t="s">
        <v>8</v>
      </c>
      <c r="G1003" s="199" t="s">
        <v>4324</v>
      </c>
      <c r="H1003" s="200">
        <f>E1003*42</f>
        <v>420</v>
      </c>
      <c r="I1003" s="199" t="s">
        <v>20</v>
      </c>
      <c r="J1003" s="199" t="s">
        <v>415</v>
      </c>
      <c r="K1003" s="201">
        <v>45474</v>
      </c>
      <c r="L1003" s="199" t="s">
        <v>4328</v>
      </c>
      <c r="M1003" s="199" t="s">
        <v>3320</v>
      </c>
    </row>
    <row r="1004" spans="1:13" ht="85.5">
      <c r="A1004" s="199">
        <v>1003</v>
      </c>
      <c r="B1004" s="199" t="s">
        <v>4346</v>
      </c>
      <c r="C1004" s="199" t="s">
        <v>34</v>
      </c>
      <c r="D1004" s="199" t="s">
        <v>35</v>
      </c>
      <c r="E1004" s="199">
        <f>8+5</f>
        <v>13</v>
      </c>
      <c r="F1004" s="199" t="s">
        <v>8</v>
      </c>
      <c r="G1004" s="199" t="s">
        <v>4324</v>
      </c>
      <c r="H1004" s="200">
        <f>E1004*233.5</f>
        <v>3035.5</v>
      </c>
      <c r="I1004" s="199" t="s">
        <v>20</v>
      </c>
      <c r="J1004" s="199" t="s">
        <v>415</v>
      </c>
      <c r="K1004" s="201">
        <v>45474</v>
      </c>
      <c r="L1004" s="199" t="s">
        <v>4328</v>
      </c>
      <c r="M1004" s="199" t="s">
        <v>3320</v>
      </c>
    </row>
    <row r="1005" spans="1:13" ht="85.5">
      <c r="A1005" s="199">
        <v>1004</v>
      </c>
      <c r="B1005" s="199" t="s">
        <v>4347</v>
      </c>
      <c r="C1005" s="199" t="s">
        <v>34</v>
      </c>
      <c r="D1005" s="199" t="s">
        <v>35</v>
      </c>
      <c r="E1005" s="199">
        <f>38+12</f>
        <v>50</v>
      </c>
      <c r="F1005" s="199" t="s">
        <v>81</v>
      </c>
      <c r="G1005" s="199" t="s">
        <v>4324</v>
      </c>
      <c r="H1005" s="200">
        <f>E1005*4</f>
        <v>200</v>
      </c>
      <c r="I1005" s="199" t="s">
        <v>20</v>
      </c>
      <c r="J1005" s="199" t="s">
        <v>415</v>
      </c>
      <c r="K1005" s="201">
        <v>45474</v>
      </c>
      <c r="L1005" s="199" t="s">
        <v>4328</v>
      </c>
      <c r="M1005" s="199" t="s">
        <v>3320</v>
      </c>
    </row>
    <row r="1006" spans="1:13" ht="85.5">
      <c r="A1006" s="199">
        <v>1005</v>
      </c>
      <c r="B1006" s="199" t="s">
        <v>4348</v>
      </c>
      <c r="C1006" s="199" t="s">
        <v>34</v>
      </c>
      <c r="D1006" s="199" t="s">
        <v>35</v>
      </c>
      <c r="E1006" s="199">
        <v>50</v>
      </c>
      <c r="F1006" s="199" t="s">
        <v>81</v>
      </c>
      <c r="G1006" s="199" t="s">
        <v>4324</v>
      </c>
      <c r="H1006" s="200">
        <f>E1006*4</f>
        <v>200</v>
      </c>
      <c r="I1006" s="199" t="s">
        <v>20</v>
      </c>
      <c r="J1006" s="199" t="s">
        <v>415</v>
      </c>
      <c r="K1006" s="201">
        <v>45474</v>
      </c>
      <c r="L1006" s="199" t="s">
        <v>4328</v>
      </c>
      <c r="M1006" s="199" t="s">
        <v>3320</v>
      </c>
    </row>
    <row r="1007" spans="1:13" ht="85.5">
      <c r="A1007" s="199">
        <v>1006</v>
      </c>
      <c r="B1007" s="199" t="s">
        <v>4349</v>
      </c>
      <c r="C1007" s="199" t="s">
        <v>34</v>
      </c>
      <c r="D1007" s="199" t="s">
        <v>35</v>
      </c>
      <c r="E1007" s="199">
        <v>5</v>
      </c>
      <c r="F1007" s="199" t="s">
        <v>8</v>
      </c>
      <c r="G1007" s="199" t="s">
        <v>4324</v>
      </c>
      <c r="H1007" s="200">
        <f>E1007*157.76</f>
        <v>788.8</v>
      </c>
      <c r="I1007" s="199" t="s">
        <v>20</v>
      </c>
      <c r="J1007" s="199" t="s">
        <v>415</v>
      </c>
      <c r="K1007" s="201">
        <v>45474</v>
      </c>
      <c r="L1007" s="199" t="s">
        <v>4328</v>
      </c>
      <c r="M1007" s="199" t="s">
        <v>3320</v>
      </c>
    </row>
    <row r="1008" spans="1:13" ht="85.5">
      <c r="A1008" s="199">
        <v>1007</v>
      </c>
      <c r="B1008" s="199" t="s">
        <v>4350</v>
      </c>
      <c r="C1008" s="199" t="s">
        <v>34</v>
      </c>
      <c r="D1008" s="199" t="s">
        <v>35</v>
      </c>
      <c r="E1008" s="199">
        <f>12+38</f>
        <v>50</v>
      </c>
      <c r="F1008" s="199" t="s">
        <v>988</v>
      </c>
      <c r="G1008" s="199" t="s">
        <v>4324</v>
      </c>
      <c r="H1008" s="200">
        <f>E1008*2.38</f>
        <v>119</v>
      </c>
      <c r="I1008" s="199" t="s">
        <v>20</v>
      </c>
      <c r="J1008" s="199" t="s">
        <v>415</v>
      </c>
      <c r="K1008" s="201">
        <v>45474</v>
      </c>
      <c r="L1008" s="199" t="s">
        <v>4328</v>
      </c>
      <c r="M1008" s="199" t="s">
        <v>3320</v>
      </c>
    </row>
    <row r="1009" spans="1:13" ht="85.5">
      <c r="A1009" s="199">
        <v>1008</v>
      </c>
      <c r="B1009" s="199" t="s">
        <v>4351</v>
      </c>
      <c r="C1009" s="199" t="s">
        <v>34</v>
      </c>
      <c r="D1009" s="199" t="s">
        <v>35</v>
      </c>
      <c r="E1009" s="199">
        <f>38+12</f>
        <v>50</v>
      </c>
      <c r="F1009" s="199" t="s">
        <v>8</v>
      </c>
      <c r="G1009" s="199" t="s">
        <v>4324</v>
      </c>
      <c r="H1009" s="200">
        <f>E1009*5.79</f>
        <v>289.5</v>
      </c>
      <c r="I1009" s="199" t="s">
        <v>20</v>
      </c>
      <c r="J1009" s="199" t="s">
        <v>415</v>
      </c>
      <c r="K1009" s="201">
        <v>45474</v>
      </c>
      <c r="L1009" s="199" t="s">
        <v>4328</v>
      </c>
      <c r="M1009" s="199" t="s">
        <v>3320</v>
      </c>
    </row>
    <row r="1010" spans="1:13" ht="85.5">
      <c r="A1010" s="199">
        <v>1009</v>
      </c>
      <c r="B1010" s="199" t="s">
        <v>4352</v>
      </c>
      <c r="C1010" s="199" t="s">
        <v>34</v>
      </c>
      <c r="D1010" s="199" t="s">
        <v>35</v>
      </c>
      <c r="E1010" s="199">
        <f>25+75</f>
        <v>100</v>
      </c>
      <c r="F1010" s="199" t="s">
        <v>8</v>
      </c>
      <c r="G1010" s="199" t="s">
        <v>4324</v>
      </c>
      <c r="H1010" s="200">
        <f>E1010*10.78</f>
        <v>1078</v>
      </c>
      <c r="I1010" s="199" t="s">
        <v>20</v>
      </c>
      <c r="J1010" s="199" t="s">
        <v>415</v>
      </c>
      <c r="K1010" s="201">
        <v>45474</v>
      </c>
      <c r="L1010" s="199" t="s">
        <v>4328</v>
      </c>
      <c r="M1010" s="199" t="s">
        <v>3320</v>
      </c>
    </row>
    <row r="1011" spans="1:13" ht="85.5">
      <c r="A1011" s="199">
        <v>1010</v>
      </c>
      <c r="B1011" s="199" t="s">
        <v>4353</v>
      </c>
      <c r="C1011" s="199" t="s">
        <v>34</v>
      </c>
      <c r="D1011" s="199" t="s">
        <v>35</v>
      </c>
      <c r="E1011" s="199">
        <v>10</v>
      </c>
      <c r="F1011" s="199" t="s">
        <v>8</v>
      </c>
      <c r="G1011" s="199" t="s">
        <v>4324</v>
      </c>
      <c r="H1011" s="200">
        <f>E1011*27.84</f>
        <v>278.39999999999998</v>
      </c>
      <c r="I1011" s="199" t="s">
        <v>20</v>
      </c>
      <c r="J1011" s="199" t="s">
        <v>415</v>
      </c>
      <c r="K1011" s="201">
        <v>45474</v>
      </c>
      <c r="L1011" s="199" t="s">
        <v>4328</v>
      </c>
      <c r="M1011" s="199" t="s">
        <v>3320</v>
      </c>
    </row>
    <row r="1012" spans="1:13" ht="85.5">
      <c r="A1012" s="199">
        <v>1011</v>
      </c>
      <c r="B1012" s="199" t="s">
        <v>4354</v>
      </c>
      <c r="C1012" s="199" t="s">
        <v>34</v>
      </c>
      <c r="D1012" s="199" t="s">
        <v>35</v>
      </c>
      <c r="E1012" s="199">
        <v>10</v>
      </c>
      <c r="F1012" s="199" t="s">
        <v>8</v>
      </c>
      <c r="G1012" s="199" t="s">
        <v>4324</v>
      </c>
      <c r="H1012" s="200">
        <f>E1012*6.92</f>
        <v>69.2</v>
      </c>
      <c r="I1012" s="199" t="s">
        <v>20</v>
      </c>
      <c r="J1012" s="199" t="s">
        <v>415</v>
      </c>
      <c r="K1012" s="201">
        <v>45474</v>
      </c>
      <c r="L1012" s="199" t="s">
        <v>4328</v>
      </c>
      <c r="M1012" s="199" t="s">
        <v>3320</v>
      </c>
    </row>
    <row r="1013" spans="1:13" ht="85.5">
      <c r="A1013" s="199">
        <v>1012</v>
      </c>
      <c r="B1013" s="199" t="s">
        <v>4355</v>
      </c>
      <c r="C1013" s="199" t="s">
        <v>34</v>
      </c>
      <c r="D1013" s="199" t="s">
        <v>35</v>
      </c>
      <c r="E1013" s="199">
        <v>10</v>
      </c>
      <c r="F1013" s="199" t="s">
        <v>8</v>
      </c>
      <c r="G1013" s="199" t="s">
        <v>4324</v>
      </c>
      <c r="H1013" s="200">
        <f>E1013*25.94</f>
        <v>259.40000000000003</v>
      </c>
      <c r="I1013" s="199" t="s">
        <v>20</v>
      </c>
      <c r="J1013" s="199" t="s">
        <v>415</v>
      </c>
      <c r="K1013" s="201">
        <v>45474</v>
      </c>
      <c r="L1013" s="199" t="s">
        <v>4328</v>
      </c>
      <c r="M1013" s="199" t="s">
        <v>3320</v>
      </c>
    </row>
    <row r="1014" spans="1:13" ht="85.5">
      <c r="A1014" s="199">
        <v>1013</v>
      </c>
      <c r="B1014" s="199" t="s">
        <v>4356</v>
      </c>
      <c r="C1014" s="199" t="s">
        <v>34</v>
      </c>
      <c r="D1014" s="199" t="s">
        <v>35</v>
      </c>
      <c r="E1014" s="199">
        <f>150+50</f>
        <v>200</v>
      </c>
      <c r="F1014" s="199" t="s">
        <v>8</v>
      </c>
      <c r="G1014" s="199" t="s">
        <v>4324</v>
      </c>
      <c r="H1014" s="200">
        <f>E1014*5.1</f>
        <v>1019.9999999999999</v>
      </c>
      <c r="I1014" s="199" t="s">
        <v>20</v>
      </c>
      <c r="J1014" s="199" t="s">
        <v>415</v>
      </c>
      <c r="K1014" s="201">
        <v>45474</v>
      </c>
      <c r="L1014" s="199" t="s">
        <v>4328</v>
      </c>
      <c r="M1014" s="199" t="s">
        <v>3320</v>
      </c>
    </row>
    <row r="1015" spans="1:13" ht="85.5">
      <c r="A1015" s="199">
        <v>1014</v>
      </c>
      <c r="B1015" s="199" t="s">
        <v>4357</v>
      </c>
      <c r="C1015" s="199" t="s">
        <v>34</v>
      </c>
      <c r="D1015" s="199" t="s">
        <v>35</v>
      </c>
      <c r="E1015" s="199">
        <v>200</v>
      </c>
      <c r="F1015" s="199" t="s">
        <v>8</v>
      </c>
      <c r="G1015" s="199" t="s">
        <v>4324</v>
      </c>
      <c r="H1015" s="200">
        <f>E1015*2.52</f>
        <v>504</v>
      </c>
      <c r="I1015" s="199" t="s">
        <v>20</v>
      </c>
      <c r="J1015" s="199" t="s">
        <v>415</v>
      </c>
      <c r="K1015" s="201">
        <v>45474</v>
      </c>
      <c r="L1015" s="199" t="s">
        <v>4328</v>
      </c>
      <c r="M1015" s="199" t="s">
        <v>3320</v>
      </c>
    </row>
    <row r="1016" spans="1:13" ht="85.5">
      <c r="A1016" s="199">
        <v>1015</v>
      </c>
      <c r="B1016" s="199" t="s">
        <v>4358</v>
      </c>
      <c r="C1016" s="199" t="s">
        <v>34</v>
      </c>
      <c r="D1016" s="199" t="s">
        <v>35</v>
      </c>
      <c r="E1016" s="199">
        <v>50</v>
      </c>
      <c r="F1016" s="199" t="s">
        <v>8</v>
      </c>
      <c r="G1016" s="199" t="s">
        <v>4324</v>
      </c>
      <c r="H1016" s="200">
        <f>E1016*3.5</f>
        <v>175</v>
      </c>
      <c r="I1016" s="199" t="s">
        <v>20</v>
      </c>
      <c r="J1016" s="199" t="s">
        <v>415</v>
      </c>
      <c r="K1016" s="201">
        <v>45474</v>
      </c>
      <c r="L1016" s="199" t="s">
        <v>4328</v>
      </c>
      <c r="M1016" s="199" t="s">
        <v>3320</v>
      </c>
    </row>
    <row r="1017" spans="1:13" ht="85.5">
      <c r="A1017" s="199">
        <v>1016</v>
      </c>
      <c r="B1017" s="199" t="s">
        <v>4359</v>
      </c>
      <c r="C1017" s="199" t="s">
        <v>34</v>
      </c>
      <c r="D1017" s="199" t="s">
        <v>35</v>
      </c>
      <c r="E1017" s="199">
        <v>10</v>
      </c>
      <c r="F1017" s="199" t="s">
        <v>8</v>
      </c>
      <c r="G1017" s="199" t="s">
        <v>4324</v>
      </c>
      <c r="H1017" s="200">
        <f>E1017*147</f>
        <v>1470</v>
      </c>
      <c r="I1017" s="199" t="s">
        <v>20</v>
      </c>
      <c r="J1017" s="199" t="s">
        <v>415</v>
      </c>
      <c r="K1017" s="201">
        <v>45474</v>
      </c>
      <c r="L1017" s="199" t="s">
        <v>4328</v>
      </c>
      <c r="M1017" s="199" t="s">
        <v>3320</v>
      </c>
    </row>
    <row r="1018" spans="1:13" ht="85.5">
      <c r="A1018" s="199">
        <v>1017</v>
      </c>
      <c r="B1018" s="199" t="s">
        <v>4360</v>
      </c>
      <c r="C1018" s="199" t="s">
        <v>34</v>
      </c>
      <c r="D1018" s="199" t="s">
        <v>35</v>
      </c>
      <c r="E1018" s="199">
        <f>125+375</f>
        <v>500</v>
      </c>
      <c r="F1018" s="199" t="s">
        <v>953</v>
      </c>
      <c r="G1018" s="199" t="s">
        <v>4324</v>
      </c>
      <c r="H1018" s="200">
        <f>E1018*1.17</f>
        <v>585</v>
      </c>
      <c r="I1018" s="199" t="s">
        <v>20</v>
      </c>
      <c r="J1018" s="199" t="s">
        <v>415</v>
      </c>
      <c r="K1018" s="201">
        <v>45474</v>
      </c>
      <c r="L1018" s="199" t="s">
        <v>4328</v>
      </c>
      <c r="M1018" s="199" t="s">
        <v>3320</v>
      </c>
    </row>
    <row r="1019" spans="1:13" ht="85.5">
      <c r="A1019" s="199">
        <v>1018</v>
      </c>
      <c r="B1019" s="199" t="s">
        <v>4361</v>
      </c>
      <c r="C1019" s="199" t="s">
        <v>34</v>
      </c>
      <c r="D1019" s="199" t="s">
        <v>35</v>
      </c>
      <c r="E1019" s="199">
        <f>300+900</f>
        <v>1200</v>
      </c>
      <c r="F1019" s="199" t="s">
        <v>890</v>
      </c>
      <c r="G1019" s="199" t="s">
        <v>4324</v>
      </c>
      <c r="H1019" s="200">
        <f>E1019*13.9</f>
        <v>16680</v>
      </c>
      <c r="I1019" s="199" t="s">
        <v>20</v>
      </c>
      <c r="J1019" s="199" t="s">
        <v>415</v>
      </c>
      <c r="K1019" s="201">
        <v>45474</v>
      </c>
      <c r="L1019" s="199" t="s">
        <v>4328</v>
      </c>
      <c r="M1019" s="199" t="s">
        <v>3320</v>
      </c>
    </row>
    <row r="1020" spans="1:13" ht="85.5">
      <c r="A1020" s="199">
        <v>1019</v>
      </c>
      <c r="B1020" s="199" t="s">
        <v>4362</v>
      </c>
      <c r="C1020" s="199" t="s">
        <v>34</v>
      </c>
      <c r="D1020" s="199" t="s">
        <v>35</v>
      </c>
      <c r="E1020" s="199">
        <f>375+125</f>
        <v>500</v>
      </c>
      <c r="F1020" s="199" t="s">
        <v>8</v>
      </c>
      <c r="G1020" s="199" t="s">
        <v>4324</v>
      </c>
      <c r="H1020" s="200">
        <f>E1020*12.68</f>
        <v>6340</v>
      </c>
      <c r="I1020" s="199" t="s">
        <v>20</v>
      </c>
      <c r="J1020" s="199" t="s">
        <v>415</v>
      </c>
      <c r="K1020" s="201">
        <v>45474</v>
      </c>
      <c r="L1020" s="199" t="s">
        <v>4328</v>
      </c>
      <c r="M1020" s="199" t="s">
        <v>3320</v>
      </c>
    </row>
    <row r="1021" spans="1:13" ht="85.5">
      <c r="A1021" s="199">
        <v>1020</v>
      </c>
      <c r="B1021" s="199" t="s">
        <v>4363</v>
      </c>
      <c r="C1021" s="199" t="s">
        <v>34</v>
      </c>
      <c r="D1021" s="199" t="s">
        <v>35</v>
      </c>
      <c r="E1021" s="199">
        <v>50</v>
      </c>
      <c r="F1021" s="199" t="s">
        <v>8</v>
      </c>
      <c r="G1021" s="199" t="s">
        <v>4324</v>
      </c>
      <c r="H1021" s="200">
        <f>E1021*2.34</f>
        <v>117</v>
      </c>
      <c r="I1021" s="199" t="s">
        <v>20</v>
      </c>
      <c r="J1021" s="199" t="s">
        <v>415</v>
      </c>
      <c r="K1021" s="201">
        <v>45474</v>
      </c>
      <c r="L1021" s="199" t="s">
        <v>4328</v>
      </c>
      <c r="M1021" s="199" t="s">
        <v>3320</v>
      </c>
    </row>
    <row r="1022" spans="1:13" ht="85.5">
      <c r="A1022" s="199">
        <v>1021</v>
      </c>
      <c r="B1022" s="199" t="s">
        <v>4364</v>
      </c>
      <c r="C1022" s="199" t="s">
        <v>34</v>
      </c>
      <c r="D1022" s="199" t="s">
        <v>35</v>
      </c>
      <c r="E1022" s="199">
        <v>10</v>
      </c>
      <c r="F1022" s="199" t="s">
        <v>8</v>
      </c>
      <c r="G1022" s="199" t="s">
        <v>4324</v>
      </c>
      <c r="H1022" s="200">
        <f>E1022*7.78</f>
        <v>77.8</v>
      </c>
      <c r="I1022" s="199" t="s">
        <v>20</v>
      </c>
      <c r="J1022" s="199" t="s">
        <v>415</v>
      </c>
      <c r="K1022" s="201">
        <v>45474</v>
      </c>
      <c r="L1022" s="199" t="s">
        <v>4328</v>
      </c>
      <c r="M1022" s="199" t="s">
        <v>3320</v>
      </c>
    </row>
    <row r="1023" spans="1:13" ht="85.5">
      <c r="A1023" s="199">
        <v>1022</v>
      </c>
      <c r="B1023" s="199" t="s">
        <v>4365</v>
      </c>
      <c r="C1023" s="199" t="s">
        <v>34</v>
      </c>
      <c r="D1023" s="199" t="s">
        <v>35</v>
      </c>
      <c r="E1023" s="199">
        <v>10</v>
      </c>
      <c r="F1023" s="199" t="s">
        <v>8</v>
      </c>
      <c r="G1023" s="199" t="s">
        <v>4324</v>
      </c>
      <c r="H1023" s="200">
        <f>E1023*10.38</f>
        <v>103.80000000000001</v>
      </c>
      <c r="I1023" s="199" t="s">
        <v>20</v>
      </c>
      <c r="J1023" s="199" t="s">
        <v>415</v>
      </c>
      <c r="K1023" s="201">
        <v>45474</v>
      </c>
      <c r="L1023" s="199" t="s">
        <v>4328</v>
      </c>
      <c r="M1023" s="199" t="s">
        <v>3320</v>
      </c>
    </row>
    <row r="1024" spans="1:13" ht="85.5">
      <c r="A1024" s="199">
        <v>1023</v>
      </c>
      <c r="B1024" s="199" t="s">
        <v>4366</v>
      </c>
      <c r="C1024" s="199" t="s">
        <v>34</v>
      </c>
      <c r="D1024" s="199" t="s">
        <v>35</v>
      </c>
      <c r="E1024" s="199">
        <v>10</v>
      </c>
      <c r="F1024" s="199" t="s">
        <v>8</v>
      </c>
      <c r="G1024" s="199" t="s">
        <v>4324</v>
      </c>
      <c r="H1024" s="200">
        <f>E1024*6.05</f>
        <v>60.5</v>
      </c>
      <c r="I1024" s="199" t="s">
        <v>20</v>
      </c>
      <c r="J1024" s="199" t="s">
        <v>415</v>
      </c>
      <c r="K1024" s="201">
        <v>45474</v>
      </c>
      <c r="L1024" s="199" t="s">
        <v>4328</v>
      </c>
      <c r="M1024" s="199" t="s">
        <v>3320</v>
      </c>
    </row>
    <row r="1025" spans="1:13" ht="85.5">
      <c r="A1025" s="199">
        <v>1024</v>
      </c>
      <c r="B1025" s="199" t="s">
        <v>3052</v>
      </c>
      <c r="C1025" s="199" t="s">
        <v>34</v>
      </c>
      <c r="D1025" s="199" t="s">
        <v>35</v>
      </c>
      <c r="E1025" s="199">
        <v>20</v>
      </c>
      <c r="F1025" s="199" t="s">
        <v>8</v>
      </c>
      <c r="G1025" s="199" t="s">
        <v>4324</v>
      </c>
      <c r="H1025" s="200">
        <f>E1025*1.73</f>
        <v>34.6</v>
      </c>
      <c r="I1025" s="199" t="s">
        <v>20</v>
      </c>
      <c r="J1025" s="199" t="s">
        <v>415</v>
      </c>
      <c r="K1025" s="201">
        <v>45474</v>
      </c>
      <c r="L1025" s="199" t="s">
        <v>4328</v>
      </c>
      <c r="M1025" s="199" t="s">
        <v>3320</v>
      </c>
    </row>
    <row r="1026" spans="1:13" ht="85.5">
      <c r="A1026" s="199">
        <v>1025</v>
      </c>
      <c r="B1026" s="199" t="s">
        <v>4367</v>
      </c>
      <c r="C1026" s="199" t="s">
        <v>34</v>
      </c>
      <c r="D1026" s="199" t="s">
        <v>35</v>
      </c>
      <c r="E1026" s="199">
        <v>10</v>
      </c>
      <c r="F1026" s="199" t="s">
        <v>8</v>
      </c>
      <c r="G1026" s="199" t="s">
        <v>4324</v>
      </c>
      <c r="H1026" s="200">
        <f>E1026*11.76</f>
        <v>117.6</v>
      </c>
      <c r="I1026" s="199" t="s">
        <v>20</v>
      </c>
      <c r="J1026" s="199" t="s">
        <v>415</v>
      </c>
      <c r="K1026" s="201">
        <v>45474</v>
      </c>
      <c r="L1026" s="199" t="s">
        <v>4328</v>
      </c>
      <c r="M1026" s="199" t="s">
        <v>3320</v>
      </c>
    </row>
    <row r="1027" spans="1:13" ht="85.5">
      <c r="A1027" s="199">
        <v>1026</v>
      </c>
      <c r="B1027" s="199" t="s">
        <v>4368</v>
      </c>
      <c r="C1027" s="199" t="s">
        <v>34</v>
      </c>
      <c r="D1027" s="199" t="s">
        <v>35</v>
      </c>
      <c r="E1027" s="199">
        <v>10</v>
      </c>
      <c r="F1027" s="199" t="s">
        <v>8</v>
      </c>
      <c r="G1027" s="199" t="s">
        <v>4324</v>
      </c>
      <c r="H1027" s="200">
        <f>E1027*7.78</f>
        <v>77.8</v>
      </c>
      <c r="I1027" s="199" t="s">
        <v>20</v>
      </c>
      <c r="J1027" s="199" t="s">
        <v>415</v>
      </c>
      <c r="K1027" s="201">
        <v>45474</v>
      </c>
      <c r="L1027" s="199" t="s">
        <v>4328</v>
      </c>
      <c r="M1027" s="199" t="s">
        <v>3320</v>
      </c>
    </row>
    <row r="1028" spans="1:13" ht="85.5">
      <c r="A1028" s="199">
        <v>1027</v>
      </c>
      <c r="B1028" s="199" t="s">
        <v>4369</v>
      </c>
      <c r="C1028" s="199" t="s">
        <v>34</v>
      </c>
      <c r="D1028" s="199" t="s">
        <v>35</v>
      </c>
      <c r="E1028" s="199">
        <v>10</v>
      </c>
      <c r="F1028" s="199" t="s">
        <v>8</v>
      </c>
      <c r="G1028" s="199" t="s">
        <v>4324</v>
      </c>
      <c r="H1028" s="200">
        <f>E1028*7.78</f>
        <v>77.8</v>
      </c>
      <c r="I1028" s="199" t="s">
        <v>20</v>
      </c>
      <c r="J1028" s="199" t="s">
        <v>415</v>
      </c>
      <c r="K1028" s="201">
        <v>45474</v>
      </c>
      <c r="L1028" s="199" t="s">
        <v>4328</v>
      </c>
      <c r="M1028" s="199" t="s">
        <v>3320</v>
      </c>
    </row>
    <row r="1029" spans="1:13" ht="85.5">
      <c r="A1029" s="199">
        <v>1028</v>
      </c>
      <c r="B1029" s="199" t="s">
        <v>4370</v>
      </c>
      <c r="C1029" s="199" t="s">
        <v>34</v>
      </c>
      <c r="D1029" s="199" t="s">
        <v>35</v>
      </c>
      <c r="E1029" s="199">
        <v>10</v>
      </c>
      <c r="F1029" s="199" t="s">
        <v>8</v>
      </c>
      <c r="G1029" s="199" t="s">
        <v>4324</v>
      </c>
      <c r="H1029" s="200">
        <f>E1029*6.23</f>
        <v>62.300000000000004</v>
      </c>
      <c r="I1029" s="199" t="s">
        <v>20</v>
      </c>
      <c r="J1029" s="199" t="s">
        <v>415</v>
      </c>
      <c r="K1029" s="201">
        <v>45474</v>
      </c>
      <c r="L1029" s="199" t="s">
        <v>4328</v>
      </c>
      <c r="M1029" s="199" t="s">
        <v>3320</v>
      </c>
    </row>
    <row r="1030" spans="1:13" ht="85.5">
      <c r="A1030" s="199">
        <v>1029</v>
      </c>
      <c r="B1030" s="199" t="s">
        <v>4371</v>
      </c>
      <c r="C1030" s="199" t="s">
        <v>34</v>
      </c>
      <c r="D1030" s="199" t="s">
        <v>35</v>
      </c>
      <c r="E1030" s="199">
        <v>100</v>
      </c>
      <c r="F1030" s="199" t="s">
        <v>8</v>
      </c>
      <c r="G1030" s="199" t="s">
        <v>4324</v>
      </c>
      <c r="H1030" s="200">
        <f>E1030*1.64</f>
        <v>164</v>
      </c>
      <c r="I1030" s="199" t="s">
        <v>20</v>
      </c>
      <c r="J1030" s="199" t="s">
        <v>415</v>
      </c>
      <c r="K1030" s="201">
        <v>45474</v>
      </c>
      <c r="L1030" s="199" t="s">
        <v>4328</v>
      </c>
      <c r="M1030" s="199" t="s">
        <v>3320</v>
      </c>
    </row>
    <row r="1031" spans="1:13" ht="85.5">
      <c r="A1031" s="199">
        <v>1030</v>
      </c>
      <c r="B1031" s="199" t="s">
        <v>4372</v>
      </c>
      <c r="C1031" s="199" t="s">
        <v>34</v>
      </c>
      <c r="D1031" s="199" t="s">
        <v>35</v>
      </c>
      <c r="E1031" s="199">
        <v>50</v>
      </c>
      <c r="F1031" s="199" t="s">
        <v>679</v>
      </c>
      <c r="G1031" s="199" t="s">
        <v>4324</v>
      </c>
      <c r="H1031" s="200">
        <f>E1031*4.85</f>
        <v>242.49999999999997</v>
      </c>
      <c r="I1031" s="199" t="s">
        <v>20</v>
      </c>
      <c r="J1031" s="199" t="s">
        <v>415</v>
      </c>
      <c r="K1031" s="201">
        <v>45474</v>
      </c>
      <c r="L1031" s="199" t="s">
        <v>4328</v>
      </c>
      <c r="M1031" s="199" t="s">
        <v>3320</v>
      </c>
    </row>
    <row r="1032" spans="1:13" ht="85.5">
      <c r="A1032" s="199">
        <v>1031</v>
      </c>
      <c r="B1032" s="199" t="s">
        <v>4373</v>
      </c>
      <c r="C1032" s="199" t="s">
        <v>34</v>
      </c>
      <c r="D1032" s="199" t="s">
        <v>35</v>
      </c>
      <c r="E1032" s="199">
        <v>100</v>
      </c>
      <c r="F1032" s="199" t="s">
        <v>1277</v>
      </c>
      <c r="G1032" s="199" t="s">
        <v>4324</v>
      </c>
      <c r="H1032" s="200">
        <f>E1032*18.91</f>
        <v>1891</v>
      </c>
      <c r="I1032" s="199" t="s">
        <v>20</v>
      </c>
      <c r="J1032" s="199" t="s">
        <v>415</v>
      </c>
      <c r="K1032" s="201">
        <v>45474</v>
      </c>
      <c r="L1032" s="199" t="s">
        <v>4328</v>
      </c>
      <c r="M1032" s="199" t="s">
        <v>3320</v>
      </c>
    </row>
    <row r="1033" spans="1:13" ht="85.5">
      <c r="A1033" s="199">
        <v>1032</v>
      </c>
      <c r="B1033" s="199" t="s">
        <v>4374</v>
      </c>
      <c r="C1033" s="199" t="s">
        <v>34</v>
      </c>
      <c r="D1033" s="199" t="s">
        <v>35</v>
      </c>
      <c r="E1033" s="199">
        <f>24+76</f>
        <v>100</v>
      </c>
      <c r="F1033" s="199" t="s">
        <v>255</v>
      </c>
      <c r="G1033" s="199" t="s">
        <v>4324</v>
      </c>
      <c r="H1033" s="200">
        <f>E1033*12.68</f>
        <v>1268</v>
      </c>
      <c r="I1033" s="199" t="s">
        <v>20</v>
      </c>
      <c r="J1033" s="199" t="s">
        <v>415</v>
      </c>
      <c r="K1033" s="201">
        <v>45474</v>
      </c>
      <c r="L1033" s="199" t="s">
        <v>4328</v>
      </c>
      <c r="M1033" s="199" t="s">
        <v>3320</v>
      </c>
    </row>
    <row r="1034" spans="1:13" ht="85.5">
      <c r="A1034" s="199">
        <v>1033</v>
      </c>
      <c r="B1034" s="199" t="s">
        <v>4375</v>
      </c>
      <c r="C1034" s="199" t="s">
        <v>34</v>
      </c>
      <c r="D1034" s="199" t="s">
        <v>35</v>
      </c>
      <c r="E1034" s="199">
        <v>10</v>
      </c>
      <c r="F1034" s="199" t="s">
        <v>8</v>
      </c>
      <c r="G1034" s="199" t="s">
        <v>4324</v>
      </c>
      <c r="H1034" s="200">
        <f>E1034*8.65</f>
        <v>86.5</v>
      </c>
      <c r="I1034" s="199" t="s">
        <v>20</v>
      </c>
      <c r="J1034" s="199" t="s">
        <v>415</v>
      </c>
      <c r="K1034" s="201">
        <v>45474</v>
      </c>
      <c r="L1034" s="199" t="s">
        <v>4328</v>
      </c>
      <c r="M1034" s="199" t="s">
        <v>3320</v>
      </c>
    </row>
    <row r="1035" spans="1:13" ht="85.5">
      <c r="A1035" s="199">
        <v>1034</v>
      </c>
      <c r="B1035" s="199" t="s">
        <v>4376</v>
      </c>
      <c r="C1035" s="199" t="s">
        <v>34</v>
      </c>
      <c r="D1035" s="199" t="s">
        <v>35</v>
      </c>
      <c r="E1035" s="199">
        <v>10</v>
      </c>
      <c r="F1035" s="199" t="s">
        <v>8</v>
      </c>
      <c r="G1035" s="199" t="s">
        <v>4324</v>
      </c>
      <c r="H1035" s="200">
        <f>E1035*9.51</f>
        <v>95.1</v>
      </c>
      <c r="I1035" s="199" t="s">
        <v>20</v>
      </c>
      <c r="J1035" s="199" t="s">
        <v>415</v>
      </c>
      <c r="K1035" s="201">
        <v>45474</v>
      </c>
      <c r="L1035" s="199" t="s">
        <v>4328</v>
      </c>
      <c r="M1035" s="199" t="s">
        <v>3320</v>
      </c>
    </row>
    <row r="1036" spans="1:13" ht="85.5">
      <c r="A1036" s="199">
        <v>1035</v>
      </c>
      <c r="B1036" s="199" t="s">
        <v>4377</v>
      </c>
      <c r="C1036" s="199" t="s">
        <v>34</v>
      </c>
      <c r="D1036" s="199" t="s">
        <v>35</v>
      </c>
      <c r="E1036" s="199">
        <v>10</v>
      </c>
      <c r="F1036" s="199" t="s">
        <v>8</v>
      </c>
      <c r="G1036" s="199" t="s">
        <v>4324</v>
      </c>
      <c r="H1036" s="200">
        <f>E1036*15.57</f>
        <v>155.69999999999999</v>
      </c>
      <c r="I1036" s="199" t="s">
        <v>20</v>
      </c>
      <c r="J1036" s="199" t="s">
        <v>415</v>
      </c>
      <c r="K1036" s="201">
        <v>45474</v>
      </c>
      <c r="L1036" s="199" t="s">
        <v>4328</v>
      </c>
      <c r="M1036" s="199" t="s">
        <v>3320</v>
      </c>
    </row>
    <row r="1037" spans="1:13" ht="85.5">
      <c r="A1037" s="199">
        <v>1036</v>
      </c>
      <c r="B1037" s="199" t="s">
        <v>4378</v>
      </c>
      <c r="C1037" s="199" t="s">
        <v>34</v>
      </c>
      <c r="D1037" s="199" t="s">
        <v>35</v>
      </c>
      <c r="E1037" s="199">
        <v>10</v>
      </c>
      <c r="F1037" s="199" t="s">
        <v>8</v>
      </c>
      <c r="G1037" s="199" t="s">
        <v>4324</v>
      </c>
      <c r="H1037" s="200">
        <f>E1037*25.94</f>
        <v>259.40000000000003</v>
      </c>
      <c r="I1037" s="199" t="s">
        <v>20</v>
      </c>
      <c r="J1037" s="199" t="s">
        <v>415</v>
      </c>
      <c r="K1037" s="201">
        <v>45474</v>
      </c>
      <c r="L1037" s="199" t="s">
        <v>4328</v>
      </c>
      <c r="M1037" s="199" t="s">
        <v>3320</v>
      </c>
    </row>
    <row r="1038" spans="1:13" ht="85.5">
      <c r="A1038" s="199">
        <v>1037</v>
      </c>
      <c r="B1038" s="199" t="s">
        <v>4379</v>
      </c>
      <c r="C1038" s="199" t="s">
        <v>34</v>
      </c>
      <c r="D1038" s="199" t="s">
        <v>35</v>
      </c>
      <c r="E1038" s="199">
        <v>10</v>
      </c>
      <c r="F1038" s="199" t="s">
        <v>8</v>
      </c>
      <c r="G1038" s="199" t="s">
        <v>4324</v>
      </c>
      <c r="H1038" s="200">
        <f>E1038*3.11</f>
        <v>31.099999999999998</v>
      </c>
      <c r="I1038" s="199" t="s">
        <v>20</v>
      </c>
      <c r="J1038" s="199" t="s">
        <v>415</v>
      </c>
      <c r="K1038" s="201">
        <v>45474</v>
      </c>
      <c r="L1038" s="199" t="s">
        <v>4328</v>
      </c>
      <c r="M1038" s="199" t="s">
        <v>3320</v>
      </c>
    </row>
    <row r="1039" spans="1:13" ht="85.5">
      <c r="A1039" s="199">
        <v>1038</v>
      </c>
      <c r="B1039" s="199" t="s">
        <v>4380</v>
      </c>
      <c r="C1039" s="199" t="s">
        <v>34</v>
      </c>
      <c r="D1039" s="199" t="s">
        <v>35</v>
      </c>
      <c r="E1039" s="199">
        <v>10</v>
      </c>
      <c r="F1039" s="199" t="s">
        <v>8</v>
      </c>
      <c r="G1039" s="199" t="s">
        <v>4324</v>
      </c>
      <c r="H1039" s="200">
        <f>E1039*2.94</f>
        <v>29.4</v>
      </c>
      <c r="I1039" s="199" t="s">
        <v>20</v>
      </c>
      <c r="J1039" s="199" t="s">
        <v>415</v>
      </c>
      <c r="K1039" s="201">
        <v>45474</v>
      </c>
      <c r="L1039" s="199" t="s">
        <v>4328</v>
      </c>
      <c r="M1039" s="199" t="s">
        <v>3320</v>
      </c>
    </row>
    <row r="1040" spans="1:13" ht="85.5">
      <c r="A1040" s="199">
        <v>1039</v>
      </c>
      <c r="B1040" s="199" t="s">
        <v>4381</v>
      </c>
      <c r="C1040" s="199" t="s">
        <v>34</v>
      </c>
      <c r="D1040" s="199" t="s">
        <v>35</v>
      </c>
      <c r="E1040" s="199">
        <v>10</v>
      </c>
      <c r="F1040" s="199" t="s">
        <v>8</v>
      </c>
      <c r="G1040" s="199" t="s">
        <v>4324</v>
      </c>
      <c r="H1040" s="200">
        <f>E1040*13.49</f>
        <v>134.9</v>
      </c>
      <c r="I1040" s="199" t="s">
        <v>20</v>
      </c>
      <c r="J1040" s="199" t="s">
        <v>415</v>
      </c>
      <c r="K1040" s="201">
        <v>45474</v>
      </c>
      <c r="L1040" s="199" t="s">
        <v>4328</v>
      </c>
      <c r="M1040" s="199" t="s">
        <v>3320</v>
      </c>
    </row>
    <row r="1041" spans="1:13" ht="85.5">
      <c r="A1041" s="199">
        <v>1040</v>
      </c>
      <c r="B1041" s="199" t="s">
        <v>4382</v>
      </c>
      <c r="C1041" s="199" t="s">
        <v>34</v>
      </c>
      <c r="D1041" s="199" t="s">
        <v>35</v>
      </c>
      <c r="E1041" s="199">
        <v>10</v>
      </c>
      <c r="F1041" s="199" t="s">
        <v>8</v>
      </c>
      <c r="G1041" s="199" t="s">
        <v>4324</v>
      </c>
      <c r="H1041" s="200">
        <f>E1041*20.75</f>
        <v>207.5</v>
      </c>
      <c r="I1041" s="199" t="s">
        <v>20</v>
      </c>
      <c r="J1041" s="199" t="s">
        <v>415</v>
      </c>
      <c r="K1041" s="201">
        <v>45474</v>
      </c>
      <c r="L1041" s="199" t="s">
        <v>4328</v>
      </c>
      <c r="M1041" s="199" t="s">
        <v>3320</v>
      </c>
    </row>
    <row r="1042" spans="1:13" ht="85.5">
      <c r="A1042" s="199">
        <v>1041</v>
      </c>
      <c r="B1042" s="199" t="s">
        <v>4383</v>
      </c>
      <c r="C1042" s="199" t="s">
        <v>34</v>
      </c>
      <c r="D1042" s="199" t="s">
        <v>35</v>
      </c>
      <c r="E1042" s="199">
        <v>50</v>
      </c>
      <c r="F1042" s="199" t="s">
        <v>8</v>
      </c>
      <c r="G1042" s="199" t="s">
        <v>4324</v>
      </c>
      <c r="H1042" s="200">
        <f>E1042*199.7</f>
        <v>9985</v>
      </c>
      <c r="I1042" s="199" t="s">
        <v>20</v>
      </c>
      <c r="J1042" s="199" t="s">
        <v>415</v>
      </c>
      <c r="K1042" s="201">
        <v>45474</v>
      </c>
      <c r="L1042" s="199" t="s">
        <v>4328</v>
      </c>
      <c r="M1042" s="199" t="s">
        <v>3320</v>
      </c>
    </row>
    <row r="1043" spans="1:13" ht="85.5">
      <c r="A1043" s="199">
        <v>1042</v>
      </c>
      <c r="B1043" s="199" t="s">
        <v>4384</v>
      </c>
      <c r="C1043" s="199" t="s">
        <v>34</v>
      </c>
      <c r="D1043" s="199" t="s">
        <v>35</v>
      </c>
      <c r="E1043" s="199">
        <v>50</v>
      </c>
      <c r="F1043" s="199" t="s">
        <v>8</v>
      </c>
      <c r="G1043" s="199" t="s">
        <v>4324</v>
      </c>
      <c r="H1043" s="200">
        <f>E1043*284.4</f>
        <v>14219.999999999998</v>
      </c>
      <c r="I1043" s="199" t="s">
        <v>20</v>
      </c>
      <c r="J1043" s="199" t="s">
        <v>415</v>
      </c>
      <c r="K1043" s="201">
        <v>45474</v>
      </c>
      <c r="L1043" s="199" t="s">
        <v>4328</v>
      </c>
      <c r="M1043" s="199" t="s">
        <v>3320</v>
      </c>
    </row>
    <row r="1044" spans="1:13" ht="85.5">
      <c r="A1044" s="199">
        <v>1043</v>
      </c>
      <c r="B1044" s="199" t="s">
        <v>4385</v>
      </c>
      <c r="C1044" s="199" t="s">
        <v>34</v>
      </c>
      <c r="D1044" s="199" t="s">
        <v>35</v>
      </c>
      <c r="E1044" s="199">
        <v>200</v>
      </c>
      <c r="F1044" s="199" t="s">
        <v>8</v>
      </c>
      <c r="G1044" s="199" t="s">
        <v>4324</v>
      </c>
      <c r="H1044" s="200">
        <f>E1044*199.5</f>
        <v>39900</v>
      </c>
      <c r="I1044" s="199" t="s">
        <v>20</v>
      </c>
      <c r="J1044" s="199" t="s">
        <v>415</v>
      </c>
      <c r="K1044" s="201">
        <v>45474</v>
      </c>
      <c r="L1044" s="199" t="s">
        <v>4328</v>
      </c>
      <c r="M1044" s="199" t="s">
        <v>3320</v>
      </c>
    </row>
    <row r="1045" spans="1:13" ht="85.5">
      <c r="A1045" s="199">
        <v>1044</v>
      </c>
      <c r="B1045" s="199" t="s">
        <v>4386</v>
      </c>
      <c r="C1045" s="199" t="s">
        <v>34</v>
      </c>
      <c r="D1045" s="199" t="s">
        <v>35</v>
      </c>
      <c r="E1045" s="199">
        <v>20</v>
      </c>
      <c r="F1045" s="199" t="s">
        <v>8</v>
      </c>
      <c r="G1045" s="199" t="s">
        <v>4324</v>
      </c>
      <c r="H1045" s="200">
        <f>E1045*356.3</f>
        <v>7126</v>
      </c>
      <c r="I1045" s="199" t="s">
        <v>20</v>
      </c>
      <c r="J1045" s="199" t="s">
        <v>415</v>
      </c>
      <c r="K1045" s="201">
        <v>45474</v>
      </c>
      <c r="L1045" s="199" t="s">
        <v>4328</v>
      </c>
      <c r="M1045" s="199" t="s">
        <v>3320</v>
      </c>
    </row>
    <row r="1046" spans="1:13" ht="99.75">
      <c r="A1046" s="199">
        <v>1045</v>
      </c>
      <c r="B1046" s="199" t="s">
        <v>4387</v>
      </c>
      <c r="C1046" s="199" t="s">
        <v>34</v>
      </c>
      <c r="D1046" s="199" t="s">
        <v>35</v>
      </c>
      <c r="E1046" s="199">
        <f>23+7</f>
        <v>30</v>
      </c>
      <c r="F1046" s="199" t="s">
        <v>8</v>
      </c>
      <c r="G1046" s="199" t="s">
        <v>4324</v>
      </c>
      <c r="H1046" s="200">
        <f>E1046*163</f>
        <v>4890</v>
      </c>
      <c r="I1046" s="199" t="s">
        <v>20</v>
      </c>
      <c r="J1046" s="199" t="s">
        <v>415</v>
      </c>
      <c r="K1046" s="201">
        <v>45474</v>
      </c>
      <c r="L1046" s="199" t="s">
        <v>4328</v>
      </c>
      <c r="M1046" s="199" t="s">
        <v>3320</v>
      </c>
    </row>
    <row r="1047" spans="1:13" ht="99.75">
      <c r="A1047" s="199">
        <v>1046</v>
      </c>
      <c r="B1047" s="199" t="s">
        <v>4388</v>
      </c>
      <c r="C1047" s="199" t="s">
        <v>34</v>
      </c>
      <c r="D1047" s="199" t="s">
        <v>35</v>
      </c>
      <c r="E1047" s="199">
        <v>20</v>
      </c>
      <c r="F1047" s="199" t="s">
        <v>8</v>
      </c>
      <c r="G1047" s="199" t="s">
        <v>4324</v>
      </c>
      <c r="H1047" s="200">
        <f>E1047*165.49</f>
        <v>3309.8</v>
      </c>
      <c r="I1047" s="199" t="s">
        <v>20</v>
      </c>
      <c r="J1047" s="199" t="s">
        <v>415</v>
      </c>
      <c r="K1047" s="201">
        <v>45474</v>
      </c>
      <c r="L1047" s="199" t="s">
        <v>4328</v>
      </c>
      <c r="M1047" s="199" t="s">
        <v>3320</v>
      </c>
    </row>
    <row r="1048" spans="1:13" ht="85.5">
      <c r="A1048" s="199">
        <v>1047</v>
      </c>
      <c r="B1048" s="199" t="s">
        <v>4389</v>
      </c>
      <c r="C1048" s="199" t="s">
        <v>34</v>
      </c>
      <c r="D1048" s="199" t="s">
        <v>35</v>
      </c>
      <c r="E1048" s="199">
        <v>10</v>
      </c>
      <c r="F1048" s="199" t="s">
        <v>1277</v>
      </c>
      <c r="G1048" s="199" t="s">
        <v>4324</v>
      </c>
      <c r="H1048" s="200">
        <f>E1048*17.44</f>
        <v>174.4</v>
      </c>
      <c r="I1048" s="199" t="s">
        <v>20</v>
      </c>
      <c r="J1048" s="199" t="s">
        <v>415</v>
      </c>
      <c r="K1048" s="201">
        <v>45474</v>
      </c>
      <c r="L1048" s="199" t="s">
        <v>4328</v>
      </c>
      <c r="M1048" s="199" t="s">
        <v>3320</v>
      </c>
    </row>
    <row r="1049" spans="1:13" ht="85.5">
      <c r="A1049" s="199">
        <v>1048</v>
      </c>
      <c r="B1049" s="199" t="s">
        <v>4390</v>
      </c>
      <c r="C1049" s="199" t="s">
        <v>34</v>
      </c>
      <c r="D1049" s="199" t="s">
        <v>35</v>
      </c>
      <c r="E1049" s="199">
        <v>20</v>
      </c>
      <c r="F1049" s="199" t="s">
        <v>1277</v>
      </c>
      <c r="G1049" s="199" t="s">
        <v>4324</v>
      </c>
      <c r="H1049" s="200">
        <f>E1049*31.71</f>
        <v>634.20000000000005</v>
      </c>
      <c r="I1049" s="199" t="s">
        <v>20</v>
      </c>
      <c r="J1049" s="199" t="s">
        <v>415</v>
      </c>
      <c r="K1049" s="201">
        <v>45474</v>
      </c>
      <c r="L1049" s="199" t="s">
        <v>4328</v>
      </c>
      <c r="M1049" s="199" t="s">
        <v>3320</v>
      </c>
    </row>
    <row r="1050" spans="1:13" ht="85.5">
      <c r="A1050" s="199">
        <v>1049</v>
      </c>
      <c r="B1050" s="199" t="s">
        <v>4391</v>
      </c>
      <c r="C1050" s="199" t="s">
        <v>34</v>
      </c>
      <c r="D1050" s="199" t="s">
        <v>35</v>
      </c>
      <c r="E1050" s="199">
        <v>10</v>
      </c>
      <c r="F1050" s="199" t="s">
        <v>8</v>
      </c>
      <c r="G1050" s="199" t="s">
        <v>4324</v>
      </c>
      <c r="H1050" s="200">
        <f>E1050*262.91</f>
        <v>2629.1000000000004</v>
      </c>
      <c r="I1050" s="199" t="s">
        <v>20</v>
      </c>
      <c r="J1050" s="199" t="s">
        <v>415</v>
      </c>
      <c r="K1050" s="201">
        <v>45474</v>
      </c>
      <c r="L1050" s="199" t="s">
        <v>4328</v>
      </c>
      <c r="M1050" s="199" t="s">
        <v>3320</v>
      </c>
    </row>
    <row r="1051" spans="1:13" ht="85.5">
      <c r="A1051" s="199">
        <v>1050</v>
      </c>
      <c r="B1051" s="199" t="s">
        <v>4392</v>
      </c>
      <c r="C1051" s="199" t="s">
        <v>34</v>
      </c>
      <c r="D1051" s="199" t="s">
        <v>35</v>
      </c>
      <c r="E1051" s="199">
        <f>12+38</f>
        <v>50</v>
      </c>
      <c r="F1051" s="199" t="s">
        <v>953</v>
      </c>
      <c r="G1051" s="199" t="s">
        <v>4324</v>
      </c>
      <c r="H1051" s="200">
        <f>E1051*3</f>
        <v>150</v>
      </c>
      <c r="I1051" s="199" t="s">
        <v>20</v>
      </c>
      <c r="J1051" s="199" t="s">
        <v>415</v>
      </c>
      <c r="K1051" s="201">
        <v>45474</v>
      </c>
      <c r="L1051" s="199" t="s">
        <v>4328</v>
      </c>
      <c r="M1051" s="199" t="s">
        <v>3320</v>
      </c>
    </row>
    <row r="1052" spans="1:13" ht="85.5">
      <c r="A1052" s="199">
        <v>1051</v>
      </c>
      <c r="B1052" s="199" t="s">
        <v>4393</v>
      </c>
      <c r="C1052" s="199" t="s">
        <v>34</v>
      </c>
      <c r="D1052" s="199" t="s">
        <v>35</v>
      </c>
      <c r="E1052" s="199">
        <f>375+125</f>
        <v>500</v>
      </c>
      <c r="F1052" s="199" t="s">
        <v>2076</v>
      </c>
      <c r="G1052" s="199" t="s">
        <v>4324</v>
      </c>
      <c r="H1052" s="200">
        <f>E1052*2.06</f>
        <v>1030</v>
      </c>
      <c r="I1052" s="199" t="s">
        <v>20</v>
      </c>
      <c r="J1052" s="199" t="s">
        <v>415</v>
      </c>
      <c r="K1052" s="201">
        <v>45474</v>
      </c>
      <c r="L1052" s="199" t="s">
        <v>3319</v>
      </c>
      <c r="M1052" s="199" t="s">
        <v>3320</v>
      </c>
    </row>
    <row r="1053" spans="1:13" ht="85.5">
      <c r="A1053" s="199">
        <v>1052</v>
      </c>
      <c r="B1053" s="199" t="s">
        <v>4394</v>
      </c>
      <c r="C1053" s="199" t="s">
        <v>34</v>
      </c>
      <c r="D1053" s="199" t="s">
        <v>35</v>
      </c>
      <c r="E1053" s="199">
        <f>37+13</f>
        <v>50</v>
      </c>
      <c r="F1053" s="199" t="s">
        <v>1277</v>
      </c>
      <c r="G1053" s="199" t="s">
        <v>4324</v>
      </c>
      <c r="H1053" s="200">
        <f>E1053*7.95</f>
        <v>397.5</v>
      </c>
      <c r="I1053" s="199" t="s">
        <v>20</v>
      </c>
      <c r="J1053" s="199" t="s">
        <v>415</v>
      </c>
      <c r="K1053" s="201">
        <v>45474</v>
      </c>
      <c r="L1053" s="199" t="s">
        <v>3322</v>
      </c>
      <c r="M1053" s="199" t="s">
        <v>3320</v>
      </c>
    </row>
    <row r="1054" spans="1:13" ht="85.5">
      <c r="A1054" s="199">
        <v>1053</v>
      </c>
      <c r="B1054" s="199" t="s">
        <v>4395</v>
      </c>
      <c r="C1054" s="199" t="s">
        <v>34</v>
      </c>
      <c r="D1054" s="199" t="s">
        <v>35</v>
      </c>
      <c r="E1054" s="199">
        <f>38+12</f>
        <v>50</v>
      </c>
      <c r="F1054" s="199" t="s">
        <v>81</v>
      </c>
      <c r="G1054" s="199" t="s">
        <v>4324</v>
      </c>
      <c r="H1054" s="200">
        <f>48.08*E1054</f>
        <v>2404</v>
      </c>
      <c r="I1054" s="199" t="s">
        <v>20</v>
      </c>
      <c r="J1054" s="199" t="s">
        <v>415</v>
      </c>
      <c r="K1054" s="201">
        <v>45474</v>
      </c>
      <c r="L1054" s="199" t="s">
        <v>3324</v>
      </c>
      <c r="M1054" s="199" t="s">
        <v>3320</v>
      </c>
    </row>
    <row r="1055" spans="1:13" ht="85.5">
      <c r="A1055" s="199">
        <v>1054</v>
      </c>
      <c r="B1055" s="199" t="s">
        <v>4396</v>
      </c>
      <c r="C1055" s="199" t="s">
        <v>25</v>
      </c>
      <c r="D1055" s="199" t="s">
        <v>17</v>
      </c>
      <c r="E1055" s="199">
        <v>30</v>
      </c>
      <c r="F1055" s="199" t="s">
        <v>4397</v>
      </c>
      <c r="G1055" s="199" t="s">
        <v>4398</v>
      </c>
      <c r="H1055" s="200">
        <v>681.9</v>
      </c>
      <c r="I1055" s="199" t="s">
        <v>38</v>
      </c>
      <c r="J1055" s="199" t="s">
        <v>415</v>
      </c>
      <c r="K1055" s="201">
        <v>45627</v>
      </c>
      <c r="L1055" s="199" t="s">
        <v>4328</v>
      </c>
      <c r="M1055" s="199" t="s">
        <v>3320</v>
      </c>
    </row>
    <row r="1056" spans="1:13" ht="85.5">
      <c r="A1056" s="199">
        <v>1055</v>
      </c>
      <c r="B1056" s="199" t="s">
        <v>4399</v>
      </c>
      <c r="C1056" s="199" t="s">
        <v>25</v>
      </c>
      <c r="D1056" s="199" t="s">
        <v>17</v>
      </c>
      <c r="E1056" s="199">
        <v>800</v>
      </c>
      <c r="F1056" s="199" t="s">
        <v>4397</v>
      </c>
      <c r="G1056" s="199" t="s">
        <v>4398</v>
      </c>
      <c r="H1056" s="200">
        <v>14104</v>
      </c>
      <c r="I1056" s="199" t="s">
        <v>38</v>
      </c>
      <c r="J1056" s="199" t="s">
        <v>415</v>
      </c>
      <c r="K1056" s="201">
        <v>45627</v>
      </c>
      <c r="L1056" s="199" t="s">
        <v>4328</v>
      </c>
      <c r="M1056" s="199" t="s">
        <v>3320</v>
      </c>
    </row>
    <row r="1057" spans="1:13" ht="85.5">
      <c r="A1057" s="199">
        <v>1056</v>
      </c>
      <c r="B1057" s="199" t="s">
        <v>4400</v>
      </c>
      <c r="C1057" s="199" t="s">
        <v>25</v>
      </c>
      <c r="D1057" s="199" t="s">
        <v>17</v>
      </c>
      <c r="E1057" s="199">
        <v>500</v>
      </c>
      <c r="F1057" s="199" t="s">
        <v>4397</v>
      </c>
      <c r="G1057" s="199" t="s">
        <v>4398</v>
      </c>
      <c r="H1057" s="200">
        <v>10365</v>
      </c>
      <c r="I1057" s="199" t="s">
        <v>38</v>
      </c>
      <c r="J1057" s="199" t="s">
        <v>415</v>
      </c>
      <c r="K1057" s="201">
        <v>45627</v>
      </c>
      <c r="L1057" s="199" t="s">
        <v>4328</v>
      </c>
      <c r="M1057" s="199" t="s">
        <v>3320</v>
      </c>
    </row>
    <row r="1058" spans="1:13" ht="85.5">
      <c r="A1058" s="199">
        <v>1057</v>
      </c>
      <c r="B1058" s="199" t="s">
        <v>4401</v>
      </c>
      <c r="C1058" s="199" t="s">
        <v>25</v>
      </c>
      <c r="D1058" s="199" t="s">
        <v>17</v>
      </c>
      <c r="E1058" s="199">
        <v>300</v>
      </c>
      <c r="F1058" s="199" t="s">
        <v>4397</v>
      </c>
      <c r="G1058" s="199" t="s">
        <v>4398</v>
      </c>
      <c r="H1058" s="200">
        <v>3846</v>
      </c>
      <c r="I1058" s="199" t="s">
        <v>38</v>
      </c>
      <c r="J1058" s="199" t="s">
        <v>415</v>
      </c>
      <c r="K1058" s="201">
        <v>45627</v>
      </c>
      <c r="L1058" s="199" t="s">
        <v>4328</v>
      </c>
      <c r="M1058" s="199" t="s">
        <v>3320</v>
      </c>
    </row>
    <row r="1059" spans="1:13" ht="85.5">
      <c r="A1059" s="199">
        <v>1058</v>
      </c>
      <c r="B1059" s="199" t="s">
        <v>4402</v>
      </c>
      <c r="C1059" s="199" t="s">
        <v>25</v>
      </c>
      <c r="D1059" s="199" t="s">
        <v>17</v>
      </c>
      <c r="E1059" s="199">
        <v>100</v>
      </c>
      <c r="F1059" s="199" t="s">
        <v>4397</v>
      </c>
      <c r="G1059" s="199" t="s">
        <v>4398</v>
      </c>
      <c r="H1059" s="200">
        <v>1925</v>
      </c>
      <c r="I1059" s="199" t="s">
        <v>38</v>
      </c>
      <c r="J1059" s="199" t="s">
        <v>415</v>
      </c>
      <c r="K1059" s="201">
        <v>45627</v>
      </c>
      <c r="L1059" s="199" t="s">
        <v>4328</v>
      </c>
      <c r="M1059" s="199" t="s">
        <v>3320</v>
      </c>
    </row>
    <row r="1060" spans="1:13" ht="85.5">
      <c r="A1060" s="199">
        <v>1059</v>
      </c>
      <c r="B1060" s="199" t="s">
        <v>4403</v>
      </c>
      <c r="C1060" s="199" t="s">
        <v>25</v>
      </c>
      <c r="D1060" s="199" t="s">
        <v>17</v>
      </c>
      <c r="E1060" s="199">
        <v>50</v>
      </c>
      <c r="F1060" s="199" t="s">
        <v>4397</v>
      </c>
      <c r="G1060" s="199" t="s">
        <v>4398</v>
      </c>
      <c r="H1060" s="200">
        <v>1144.5</v>
      </c>
      <c r="I1060" s="199" t="s">
        <v>38</v>
      </c>
      <c r="J1060" s="199" t="s">
        <v>415</v>
      </c>
      <c r="K1060" s="201">
        <v>45627</v>
      </c>
      <c r="L1060" s="199" t="s">
        <v>4328</v>
      </c>
      <c r="M1060" s="199" t="s">
        <v>3320</v>
      </c>
    </row>
    <row r="1061" spans="1:13" ht="85.5">
      <c r="A1061" s="199">
        <v>1060</v>
      </c>
      <c r="B1061" s="199" t="s">
        <v>4404</v>
      </c>
      <c r="C1061" s="199" t="s">
        <v>25</v>
      </c>
      <c r="D1061" s="199" t="s">
        <v>17</v>
      </c>
      <c r="E1061" s="199">
        <v>50</v>
      </c>
      <c r="F1061" s="199" t="s">
        <v>4397</v>
      </c>
      <c r="G1061" s="199" t="s">
        <v>4398</v>
      </c>
      <c r="H1061" s="200">
        <v>1144.5</v>
      </c>
      <c r="I1061" s="199" t="s">
        <v>38</v>
      </c>
      <c r="J1061" s="199" t="s">
        <v>415</v>
      </c>
      <c r="K1061" s="201">
        <v>45627</v>
      </c>
      <c r="L1061" s="199" t="s">
        <v>4328</v>
      </c>
      <c r="M1061" s="199" t="s">
        <v>3320</v>
      </c>
    </row>
    <row r="1062" spans="1:13" ht="85.5">
      <c r="A1062" s="199">
        <v>1061</v>
      </c>
      <c r="B1062" s="199" t="s">
        <v>4405</v>
      </c>
      <c r="C1062" s="199" t="s">
        <v>25</v>
      </c>
      <c r="D1062" s="199" t="s">
        <v>17</v>
      </c>
      <c r="E1062" s="199">
        <v>50</v>
      </c>
      <c r="F1062" s="199" t="s">
        <v>4397</v>
      </c>
      <c r="G1062" s="199" t="s">
        <v>4398</v>
      </c>
      <c r="H1062" s="200">
        <v>1144.5</v>
      </c>
      <c r="I1062" s="199" t="s">
        <v>38</v>
      </c>
      <c r="J1062" s="199" t="s">
        <v>415</v>
      </c>
      <c r="K1062" s="201">
        <v>45627</v>
      </c>
      <c r="L1062" s="199" t="s">
        <v>4328</v>
      </c>
      <c r="M1062" s="199" t="s">
        <v>3320</v>
      </c>
    </row>
    <row r="1063" spans="1:13" ht="85.5">
      <c r="A1063" s="199">
        <v>1062</v>
      </c>
      <c r="B1063" s="199" t="s">
        <v>4406</v>
      </c>
      <c r="C1063" s="199" t="s">
        <v>25</v>
      </c>
      <c r="D1063" s="199" t="s">
        <v>17</v>
      </c>
      <c r="E1063" s="199">
        <v>30</v>
      </c>
      <c r="F1063" s="199" t="s">
        <v>4397</v>
      </c>
      <c r="G1063" s="199" t="s">
        <v>4398</v>
      </c>
      <c r="H1063" s="200">
        <v>485.7</v>
      </c>
      <c r="I1063" s="199" t="s">
        <v>38</v>
      </c>
      <c r="J1063" s="199" t="s">
        <v>415</v>
      </c>
      <c r="K1063" s="201">
        <v>45627</v>
      </c>
      <c r="L1063" s="199" t="s">
        <v>4328</v>
      </c>
      <c r="M1063" s="199" t="s">
        <v>3320</v>
      </c>
    </row>
    <row r="1064" spans="1:13" ht="85.5">
      <c r="A1064" s="199">
        <v>1063</v>
      </c>
      <c r="B1064" s="199" t="s">
        <v>4407</v>
      </c>
      <c r="C1064" s="199" t="s">
        <v>25</v>
      </c>
      <c r="D1064" s="199" t="s">
        <v>17</v>
      </c>
      <c r="E1064" s="199">
        <v>300</v>
      </c>
      <c r="F1064" s="199" t="s">
        <v>4397</v>
      </c>
      <c r="G1064" s="199" t="s">
        <v>4398</v>
      </c>
      <c r="H1064" s="200">
        <v>5706</v>
      </c>
      <c r="I1064" s="199" t="s">
        <v>38</v>
      </c>
      <c r="J1064" s="199" t="s">
        <v>415</v>
      </c>
      <c r="K1064" s="201">
        <v>45627</v>
      </c>
      <c r="L1064" s="199" t="s">
        <v>4328</v>
      </c>
      <c r="M1064" s="199" t="s">
        <v>3320</v>
      </c>
    </row>
    <row r="1065" spans="1:13" ht="85.5">
      <c r="A1065" s="199">
        <v>1064</v>
      </c>
      <c r="B1065" s="199" t="s">
        <v>4408</v>
      </c>
      <c r="C1065" s="199" t="s">
        <v>25</v>
      </c>
      <c r="D1065" s="199" t="s">
        <v>17</v>
      </c>
      <c r="E1065" s="199">
        <v>54140</v>
      </c>
      <c r="F1065" s="199" t="s">
        <v>816</v>
      </c>
      <c r="G1065" s="199" t="s">
        <v>4398</v>
      </c>
      <c r="H1065" s="200">
        <v>118566.6</v>
      </c>
      <c r="I1065" s="199" t="s">
        <v>38</v>
      </c>
      <c r="J1065" s="199" t="s">
        <v>415</v>
      </c>
      <c r="K1065" s="201">
        <v>45627</v>
      </c>
      <c r="L1065" s="199" t="s">
        <v>4328</v>
      </c>
      <c r="M1065" s="199" t="s">
        <v>3320</v>
      </c>
    </row>
    <row r="1066" spans="1:13" ht="85.5">
      <c r="A1066" s="199">
        <v>1065</v>
      </c>
      <c r="B1066" s="199" t="s">
        <v>4409</v>
      </c>
      <c r="C1066" s="199" t="s">
        <v>25</v>
      </c>
      <c r="D1066" s="199" t="s">
        <v>17</v>
      </c>
      <c r="E1066" s="199">
        <v>20000</v>
      </c>
      <c r="F1066" s="199" t="s">
        <v>816</v>
      </c>
      <c r="G1066" s="199" t="s">
        <v>4398</v>
      </c>
      <c r="H1066" s="200">
        <v>17200</v>
      </c>
      <c r="I1066" s="199" t="s">
        <v>38</v>
      </c>
      <c r="J1066" s="199" t="s">
        <v>415</v>
      </c>
      <c r="K1066" s="201">
        <v>45627</v>
      </c>
      <c r="L1066" s="199" t="s">
        <v>4328</v>
      </c>
      <c r="M1066" s="199" t="s">
        <v>3320</v>
      </c>
    </row>
    <row r="1067" spans="1:13" ht="85.5">
      <c r="A1067" s="199">
        <v>1066</v>
      </c>
      <c r="B1067" s="199" t="s">
        <v>4410</v>
      </c>
      <c r="C1067" s="199" t="s">
        <v>25</v>
      </c>
      <c r="D1067" s="199" t="s">
        <v>17</v>
      </c>
      <c r="E1067" s="199">
        <v>2000</v>
      </c>
      <c r="F1067" s="199" t="s">
        <v>816</v>
      </c>
      <c r="G1067" s="199" t="s">
        <v>4398</v>
      </c>
      <c r="H1067" s="200">
        <v>2640</v>
      </c>
      <c r="I1067" s="199" t="s">
        <v>38</v>
      </c>
      <c r="J1067" s="199" t="s">
        <v>415</v>
      </c>
      <c r="K1067" s="201">
        <v>45627</v>
      </c>
      <c r="L1067" s="199" t="s">
        <v>4328</v>
      </c>
      <c r="M1067" s="199" t="s">
        <v>3320</v>
      </c>
    </row>
    <row r="1068" spans="1:13" ht="85.5">
      <c r="A1068" s="199">
        <v>1067</v>
      </c>
      <c r="B1068" s="199" t="s">
        <v>4411</v>
      </c>
      <c r="C1068" s="199" t="s">
        <v>25</v>
      </c>
      <c r="D1068" s="199" t="s">
        <v>17</v>
      </c>
      <c r="E1068" s="199">
        <v>12000</v>
      </c>
      <c r="F1068" s="199" t="s">
        <v>816</v>
      </c>
      <c r="G1068" s="199" t="s">
        <v>4398</v>
      </c>
      <c r="H1068" s="200">
        <v>10200</v>
      </c>
      <c r="I1068" s="199" t="s">
        <v>38</v>
      </c>
      <c r="J1068" s="199" t="s">
        <v>415</v>
      </c>
      <c r="K1068" s="201">
        <v>45627</v>
      </c>
      <c r="L1068" s="199" t="s">
        <v>4328</v>
      </c>
      <c r="M1068" s="199" t="s">
        <v>3320</v>
      </c>
    </row>
    <row r="1069" spans="1:13" ht="85.5">
      <c r="A1069" s="199">
        <v>1068</v>
      </c>
      <c r="B1069" s="199" t="s">
        <v>4412</v>
      </c>
      <c r="C1069" s="199" t="s">
        <v>25</v>
      </c>
      <c r="D1069" s="199" t="s">
        <v>17</v>
      </c>
      <c r="E1069" s="199">
        <v>2760</v>
      </c>
      <c r="F1069" s="199" t="s">
        <v>816</v>
      </c>
      <c r="G1069" s="199" t="s">
        <v>4398</v>
      </c>
      <c r="H1069" s="200">
        <v>22273.200000000001</v>
      </c>
      <c r="I1069" s="199" t="s">
        <v>38</v>
      </c>
      <c r="J1069" s="199" t="s">
        <v>415</v>
      </c>
      <c r="K1069" s="201">
        <v>45627</v>
      </c>
      <c r="L1069" s="199" t="s">
        <v>4328</v>
      </c>
      <c r="M1069" s="199" t="s">
        <v>3320</v>
      </c>
    </row>
    <row r="1070" spans="1:13" ht="99.75">
      <c r="A1070" s="199">
        <v>1069</v>
      </c>
      <c r="B1070" s="199" t="s">
        <v>4413</v>
      </c>
      <c r="C1070" s="199" t="s">
        <v>25</v>
      </c>
      <c r="D1070" s="199" t="s">
        <v>17</v>
      </c>
      <c r="E1070" s="199">
        <v>7600</v>
      </c>
      <c r="F1070" s="199" t="s">
        <v>816</v>
      </c>
      <c r="G1070" s="199" t="s">
        <v>4398</v>
      </c>
      <c r="H1070" s="200">
        <v>15960</v>
      </c>
      <c r="I1070" s="199" t="s">
        <v>38</v>
      </c>
      <c r="J1070" s="199" t="s">
        <v>415</v>
      </c>
      <c r="K1070" s="201">
        <v>45627</v>
      </c>
      <c r="L1070" s="199" t="s">
        <v>4328</v>
      </c>
      <c r="M1070" s="199" t="s">
        <v>3320</v>
      </c>
    </row>
    <row r="1071" spans="1:13" ht="85.5">
      <c r="A1071" s="199">
        <v>1070</v>
      </c>
      <c r="B1071" s="199" t="s">
        <v>4414</v>
      </c>
      <c r="C1071" s="199" t="s">
        <v>25</v>
      </c>
      <c r="D1071" s="199" t="s">
        <v>17</v>
      </c>
      <c r="E1071" s="199">
        <v>576</v>
      </c>
      <c r="F1071" s="199" t="s">
        <v>816</v>
      </c>
      <c r="G1071" s="199" t="s">
        <v>4398</v>
      </c>
      <c r="H1071" s="200">
        <v>157438.07999999999</v>
      </c>
      <c r="I1071" s="199" t="s">
        <v>38</v>
      </c>
      <c r="J1071" s="199" t="s">
        <v>415</v>
      </c>
      <c r="K1071" s="201">
        <v>45627</v>
      </c>
      <c r="L1071" s="199" t="s">
        <v>4328</v>
      </c>
      <c r="M1071" s="199" t="s">
        <v>3320</v>
      </c>
    </row>
    <row r="1072" spans="1:13" ht="85.5">
      <c r="A1072" s="199">
        <v>1071</v>
      </c>
      <c r="B1072" s="199" t="s">
        <v>4415</v>
      </c>
      <c r="C1072" s="199" t="s">
        <v>25</v>
      </c>
      <c r="D1072" s="199" t="s">
        <v>17</v>
      </c>
      <c r="E1072" s="199">
        <v>38200</v>
      </c>
      <c r="F1072" s="199" t="s">
        <v>816</v>
      </c>
      <c r="G1072" s="199" t="s">
        <v>4398</v>
      </c>
      <c r="H1072" s="200">
        <v>110016</v>
      </c>
      <c r="I1072" s="199" t="s">
        <v>38</v>
      </c>
      <c r="J1072" s="199" t="s">
        <v>415</v>
      </c>
      <c r="K1072" s="201">
        <v>45627</v>
      </c>
      <c r="L1072" s="199" t="s">
        <v>4328</v>
      </c>
      <c r="M1072" s="199" t="s">
        <v>3320</v>
      </c>
    </row>
    <row r="1073" spans="1:13" ht="85.5">
      <c r="A1073" s="199">
        <v>1072</v>
      </c>
      <c r="B1073" s="199" t="s">
        <v>4415</v>
      </c>
      <c r="C1073" s="199" t="s">
        <v>25</v>
      </c>
      <c r="D1073" s="199" t="s">
        <v>17</v>
      </c>
      <c r="E1073" s="199">
        <v>42600</v>
      </c>
      <c r="F1073" s="199" t="s">
        <v>816</v>
      </c>
      <c r="G1073" s="199" t="s">
        <v>4398</v>
      </c>
      <c r="H1073" s="200">
        <v>172530</v>
      </c>
      <c r="I1073" s="199" t="s">
        <v>38</v>
      </c>
      <c r="J1073" s="199" t="s">
        <v>415</v>
      </c>
      <c r="K1073" s="201">
        <v>45627</v>
      </c>
      <c r="L1073" s="199" t="s">
        <v>4328</v>
      </c>
      <c r="M1073" s="199" t="s">
        <v>3320</v>
      </c>
    </row>
    <row r="1074" spans="1:13" ht="85.5">
      <c r="A1074" s="199">
        <v>1073</v>
      </c>
      <c r="B1074" s="199" t="s">
        <v>4416</v>
      </c>
      <c r="C1074" s="199" t="s">
        <v>25</v>
      </c>
      <c r="D1074" s="199" t="s">
        <v>17</v>
      </c>
      <c r="E1074" s="199">
        <v>150</v>
      </c>
      <c r="F1074" s="199" t="s">
        <v>4397</v>
      </c>
      <c r="G1074" s="199" t="s">
        <v>4398</v>
      </c>
      <c r="H1074" s="200">
        <v>1801.5</v>
      </c>
      <c r="I1074" s="199" t="s">
        <v>38</v>
      </c>
      <c r="J1074" s="199" t="s">
        <v>415</v>
      </c>
      <c r="K1074" s="201">
        <v>45627</v>
      </c>
      <c r="L1074" s="199" t="s">
        <v>4328</v>
      </c>
      <c r="M1074" s="199" t="s">
        <v>3320</v>
      </c>
    </row>
    <row r="1075" spans="1:13" ht="128.25">
      <c r="A1075" s="199">
        <v>1074</v>
      </c>
      <c r="B1075" s="199" t="s">
        <v>4417</v>
      </c>
      <c r="C1075" s="199" t="s">
        <v>25</v>
      </c>
      <c r="D1075" s="199" t="s">
        <v>17</v>
      </c>
      <c r="E1075" s="199">
        <v>17090</v>
      </c>
      <c r="F1075" s="199" t="s">
        <v>816</v>
      </c>
      <c r="G1075" s="199" t="s">
        <v>4398</v>
      </c>
      <c r="H1075" s="200">
        <v>36743.5</v>
      </c>
      <c r="I1075" s="199" t="s">
        <v>38</v>
      </c>
      <c r="J1075" s="199" t="s">
        <v>415</v>
      </c>
      <c r="K1075" s="201">
        <v>45627</v>
      </c>
      <c r="L1075" s="199" t="s">
        <v>4328</v>
      </c>
      <c r="M1075" s="199" t="s">
        <v>3320</v>
      </c>
    </row>
    <row r="1076" spans="1:13" ht="99.75">
      <c r="A1076" s="199">
        <v>1075</v>
      </c>
      <c r="B1076" s="199" t="s">
        <v>4418</v>
      </c>
      <c r="C1076" s="199" t="s">
        <v>25</v>
      </c>
      <c r="D1076" s="199" t="s">
        <v>17</v>
      </c>
      <c r="E1076" s="199">
        <v>23780</v>
      </c>
      <c r="F1076" s="199" t="s">
        <v>816</v>
      </c>
      <c r="G1076" s="199" t="s">
        <v>4398</v>
      </c>
      <c r="H1076" s="200">
        <v>21164.2</v>
      </c>
      <c r="I1076" s="199" t="s">
        <v>38</v>
      </c>
      <c r="J1076" s="199" t="s">
        <v>415</v>
      </c>
      <c r="K1076" s="201">
        <v>45627</v>
      </c>
      <c r="L1076" s="199" t="s">
        <v>4328</v>
      </c>
      <c r="M1076" s="199" t="s">
        <v>3320</v>
      </c>
    </row>
    <row r="1077" spans="1:13" ht="85.5">
      <c r="A1077" s="199">
        <v>1076</v>
      </c>
      <c r="B1077" s="199" t="s">
        <v>4419</v>
      </c>
      <c r="C1077" s="199" t="s">
        <v>25</v>
      </c>
      <c r="D1077" s="199" t="s">
        <v>17</v>
      </c>
      <c r="E1077" s="199">
        <v>25000</v>
      </c>
      <c r="F1077" s="199" t="s">
        <v>816</v>
      </c>
      <c r="G1077" s="199" t="s">
        <v>4398</v>
      </c>
      <c r="H1077" s="200">
        <v>48250</v>
      </c>
      <c r="I1077" s="199" t="s">
        <v>38</v>
      </c>
      <c r="J1077" s="199" t="s">
        <v>415</v>
      </c>
      <c r="K1077" s="201">
        <v>45627</v>
      </c>
      <c r="L1077" s="199" t="s">
        <v>4328</v>
      </c>
      <c r="M1077" s="199" t="s">
        <v>3320</v>
      </c>
    </row>
    <row r="1078" spans="1:13" ht="85.5">
      <c r="A1078" s="199">
        <v>1077</v>
      </c>
      <c r="B1078" s="199" t="s">
        <v>4420</v>
      </c>
      <c r="C1078" s="199" t="s">
        <v>25</v>
      </c>
      <c r="D1078" s="199" t="s">
        <v>17</v>
      </c>
      <c r="E1078" s="199">
        <v>20</v>
      </c>
      <c r="F1078" s="199" t="s">
        <v>4397</v>
      </c>
      <c r="G1078" s="199" t="s">
        <v>4398</v>
      </c>
      <c r="H1078" s="200">
        <v>624.6</v>
      </c>
      <c r="I1078" s="199" t="s">
        <v>38</v>
      </c>
      <c r="J1078" s="199" t="s">
        <v>415</v>
      </c>
      <c r="K1078" s="201">
        <v>45627</v>
      </c>
      <c r="L1078" s="199" t="s">
        <v>4328</v>
      </c>
      <c r="M1078" s="199" t="s">
        <v>3320</v>
      </c>
    </row>
    <row r="1079" spans="1:13" ht="85.5">
      <c r="A1079" s="199">
        <v>1078</v>
      </c>
      <c r="B1079" s="199" t="s">
        <v>4421</v>
      </c>
      <c r="C1079" s="199" t="s">
        <v>25</v>
      </c>
      <c r="D1079" s="199" t="s">
        <v>17</v>
      </c>
      <c r="E1079" s="199">
        <v>20</v>
      </c>
      <c r="F1079" s="199" t="s">
        <v>4397</v>
      </c>
      <c r="G1079" s="199" t="s">
        <v>4398</v>
      </c>
      <c r="H1079" s="200">
        <v>594.6</v>
      </c>
      <c r="I1079" s="199" t="s">
        <v>38</v>
      </c>
      <c r="J1079" s="199" t="s">
        <v>415</v>
      </c>
      <c r="K1079" s="201">
        <v>45627</v>
      </c>
      <c r="L1079" s="199" t="s">
        <v>4328</v>
      </c>
      <c r="M1079" s="199" t="s">
        <v>3320</v>
      </c>
    </row>
    <row r="1080" spans="1:13" ht="85.5">
      <c r="A1080" s="199">
        <v>1079</v>
      </c>
      <c r="B1080" s="199" t="s">
        <v>4422</v>
      </c>
      <c r="C1080" s="199" t="s">
        <v>25</v>
      </c>
      <c r="D1080" s="199" t="s">
        <v>17</v>
      </c>
      <c r="E1080" s="199">
        <v>30</v>
      </c>
      <c r="F1080" s="199" t="s">
        <v>4397</v>
      </c>
      <c r="G1080" s="199" t="s">
        <v>4398</v>
      </c>
      <c r="H1080" s="200">
        <v>756.9</v>
      </c>
      <c r="I1080" s="199" t="s">
        <v>38</v>
      </c>
      <c r="J1080" s="199" t="s">
        <v>415</v>
      </c>
      <c r="K1080" s="201">
        <v>45627</v>
      </c>
      <c r="L1080" s="199" t="s">
        <v>4328</v>
      </c>
      <c r="M1080" s="199" t="s">
        <v>3320</v>
      </c>
    </row>
    <row r="1081" spans="1:13" ht="85.5">
      <c r="A1081" s="199">
        <v>1080</v>
      </c>
      <c r="B1081" s="199" t="s">
        <v>4423</v>
      </c>
      <c r="C1081" s="199" t="s">
        <v>25</v>
      </c>
      <c r="D1081" s="199" t="s">
        <v>17</v>
      </c>
      <c r="E1081" s="199">
        <v>100</v>
      </c>
      <c r="F1081" s="199" t="s">
        <v>4397</v>
      </c>
      <c r="G1081" s="199" t="s">
        <v>4398</v>
      </c>
      <c r="H1081" s="200">
        <v>2308</v>
      </c>
      <c r="I1081" s="199" t="s">
        <v>38</v>
      </c>
      <c r="J1081" s="199" t="s">
        <v>415</v>
      </c>
      <c r="K1081" s="201">
        <v>45627</v>
      </c>
      <c r="L1081" s="199" t="s">
        <v>4328</v>
      </c>
      <c r="M1081" s="199" t="s">
        <v>3320</v>
      </c>
    </row>
    <row r="1082" spans="1:13" ht="85.5">
      <c r="A1082" s="199">
        <v>1081</v>
      </c>
      <c r="B1082" s="199" t="s">
        <v>4424</v>
      </c>
      <c r="C1082" s="199" t="s">
        <v>25</v>
      </c>
      <c r="D1082" s="199" t="s">
        <v>17</v>
      </c>
      <c r="E1082" s="199">
        <v>150</v>
      </c>
      <c r="F1082" s="199" t="s">
        <v>4397</v>
      </c>
      <c r="G1082" s="199" t="s">
        <v>4398</v>
      </c>
      <c r="H1082" s="200">
        <v>3162</v>
      </c>
      <c r="I1082" s="199" t="s">
        <v>38</v>
      </c>
      <c r="J1082" s="199" t="s">
        <v>415</v>
      </c>
      <c r="K1082" s="201">
        <v>45627</v>
      </c>
      <c r="L1082" s="199" t="s">
        <v>4328</v>
      </c>
      <c r="M1082" s="199" t="s">
        <v>3320</v>
      </c>
    </row>
    <row r="1083" spans="1:13" ht="85.5">
      <c r="A1083" s="199">
        <v>1082</v>
      </c>
      <c r="B1083" s="199" t="s">
        <v>4425</v>
      </c>
      <c r="C1083" s="199" t="s">
        <v>25</v>
      </c>
      <c r="D1083" s="199" t="s">
        <v>17</v>
      </c>
      <c r="E1083" s="199">
        <v>50</v>
      </c>
      <c r="F1083" s="199" t="s">
        <v>4397</v>
      </c>
      <c r="G1083" s="199" t="s">
        <v>4398</v>
      </c>
      <c r="H1083" s="200">
        <v>1191.5</v>
      </c>
      <c r="I1083" s="199" t="s">
        <v>38</v>
      </c>
      <c r="J1083" s="199" t="s">
        <v>415</v>
      </c>
      <c r="K1083" s="201">
        <v>45627</v>
      </c>
      <c r="L1083" s="199" t="s">
        <v>4328</v>
      </c>
      <c r="M1083" s="199" t="s">
        <v>3320</v>
      </c>
    </row>
    <row r="1084" spans="1:13" ht="85.5">
      <c r="A1084" s="199">
        <v>1083</v>
      </c>
      <c r="B1084" s="199" t="s">
        <v>4426</v>
      </c>
      <c r="C1084" s="199" t="s">
        <v>25</v>
      </c>
      <c r="D1084" s="199" t="s">
        <v>17</v>
      </c>
      <c r="E1084" s="199">
        <v>150</v>
      </c>
      <c r="F1084" s="199" t="s">
        <v>4397</v>
      </c>
      <c r="G1084" s="199" t="s">
        <v>4398</v>
      </c>
      <c r="H1084" s="200">
        <v>3304.5</v>
      </c>
      <c r="I1084" s="199" t="s">
        <v>38</v>
      </c>
      <c r="J1084" s="199" t="s">
        <v>415</v>
      </c>
      <c r="K1084" s="201">
        <v>45627</v>
      </c>
      <c r="L1084" s="199" t="s">
        <v>4328</v>
      </c>
      <c r="M1084" s="199" t="s">
        <v>3320</v>
      </c>
    </row>
    <row r="1085" spans="1:13" ht="85.5">
      <c r="A1085" s="199">
        <v>1084</v>
      </c>
      <c r="B1085" s="199" t="s">
        <v>4427</v>
      </c>
      <c r="C1085" s="199" t="s">
        <v>25</v>
      </c>
      <c r="D1085" s="199" t="s">
        <v>17</v>
      </c>
      <c r="E1085" s="199">
        <v>150</v>
      </c>
      <c r="F1085" s="199" t="s">
        <v>4397</v>
      </c>
      <c r="G1085" s="199" t="s">
        <v>4398</v>
      </c>
      <c r="H1085" s="200">
        <v>3304.5</v>
      </c>
      <c r="I1085" s="199" t="s">
        <v>38</v>
      </c>
      <c r="J1085" s="199" t="s">
        <v>415</v>
      </c>
      <c r="K1085" s="201">
        <v>45627</v>
      </c>
      <c r="L1085" s="199" t="s">
        <v>4328</v>
      </c>
      <c r="M1085" s="199" t="s">
        <v>3320</v>
      </c>
    </row>
    <row r="1086" spans="1:13" ht="85.5">
      <c r="A1086" s="199">
        <v>1085</v>
      </c>
      <c r="B1086" s="199" t="s">
        <v>4428</v>
      </c>
      <c r="C1086" s="199" t="s">
        <v>25</v>
      </c>
      <c r="D1086" s="199" t="s">
        <v>17</v>
      </c>
      <c r="E1086" s="199">
        <v>300</v>
      </c>
      <c r="F1086" s="199" t="s">
        <v>4397</v>
      </c>
      <c r="G1086" s="199" t="s">
        <v>4398</v>
      </c>
      <c r="H1086" s="200">
        <v>8379</v>
      </c>
      <c r="I1086" s="199" t="s">
        <v>38</v>
      </c>
      <c r="J1086" s="199" t="s">
        <v>415</v>
      </c>
      <c r="K1086" s="201">
        <v>45627</v>
      </c>
      <c r="L1086" s="199" t="s">
        <v>4328</v>
      </c>
      <c r="M1086" s="199" t="s">
        <v>3320</v>
      </c>
    </row>
    <row r="1087" spans="1:13" ht="85.5">
      <c r="A1087" s="199">
        <v>1086</v>
      </c>
      <c r="B1087" s="199" t="s">
        <v>4429</v>
      </c>
      <c r="C1087" s="199" t="s">
        <v>25</v>
      </c>
      <c r="D1087" s="199" t="s">
        <v>17</v>
      </c>
      <c r="E1087" s="199">
        <v>50</v>
      </c>
      <c r="F1087" s="199" t="s">
        <v>4397</v>
      </c>
      <c r="G1087" s="199" t="s">
        <v>4398</v>
      </c>
      <c r="H1087" s="200">
        <v>1341.5</v>
      </c>
      <c r="I1087" s="199" t="s">
        <v>38</v>
      </c>
      <c r="J1087" s="199" t="s">
        <v>415</v>
      </c>
      <c r="K1087" s="201">
        <v>45627</v>
      </c>
      <c r="L1087" s="199" t="s">
        <v>4328</v>
      </c>
      <c r="M1087" s="199" t="s">
        <v>3320</v>
      </c>
    </row>
    <row r="1088" spans="1:13" ht="85.5">
      <c r="A1088" s="199">
        <v>1087</v>
      </c>
      <c r="B1088" s="199" t="s">
        <v>4430</v>
      </c>
      <c r="C1088" s="199" t="s">
        <v>25</v>
      </c>
      <c r="D1088" s="199" t="s">
        <v>17</v>
      </c>
      <c r="E1088" s="199">
        <v>20</v>
      </c>
      <c r="F1088" s="199" t="s">
        <v>4397</v>
      </c>
      <c r="G1088" s="199" t="s">
        <v>4398</v>
      </c>
      <c r="H1088" s="200">
        <v>594.6</v>
      </c>
      <c r="I1088" s="199" t="s">
        <v>38</v>
      </c>
      <c r="J1088" s="199" t="s">
        <v>415</v>
      </c>
      <c r="K1088" s="201">
        <v>45627</v>
      </c>
      <c r="L1088" s="199" t="s">
        <v>4328</v>
      </c>
      <c r="M1088" s="199" t="s">
        <v>3320</v>
      </c>
    </row>
    <row r="1089" spans="1:13" ht="85.5">
      <c r="A1089" s="199">
        <v>1088</v>
      </c>
      <c r="B1089" s="199" t="s">
        <v>4431</v>
      </c>
      <c r="C1089" s="199" t="s">
        <v>25</v>
      </c>
      <c r="D1089" s="199" t="s">
        <v>17</v>
      </c>
      <c r="E1089" s="199">
        <v>100</v>
      </c>
      <c r="F1089" s="199" t="s">
        <v>4397</v>
      </c>
      <c r="G1089" s="199" t="s">
        <v>4398</v>
      </c>
      <c r="H1089" s="200">
        <v>2020</v>
      </c>
      <c r="I1089" s="199" t="s">
        <v>38</v>
      </c>
      <c r="J1089" s="199" t="s">
        <v>415</v>
      </c>
      <c r="K1089" s="201">
        <v>45627</v>
      </c>
      <c r="L1089" s="199" t="s">
        <v>4328</v>
      </c>
      <c r="M1089" s="199" t="s">
        <v>3320</v>
      </c>
    </row>
    <row r="1090" spans="1:13" ht="85.5">
      <c r="A1090" s="199">
        <v>1089</v>
      </c>
      <c r="B1090" s="199" t="s">
        <v>4432</v>
      </c>
      <c r="C1090" s="199" t="s">
        <v>25</v>
      </c>
      <c r="D1090" s="199" t="s">
        <v>17</v>
      </c>
      <c r="E1090" s="199">
        <v>100</v>
      </c>
      <c r="F1090" s="199" t="s">
        <v>4397</v>
      </c>
      <c r="G1090" s="199" t="s">
        <v>4398</v>
      </c>
      <c r="H1090" s="200">
        <v>2420</v>
      </c>
      <c r="I1090" s="199" t="s">
        <v>38</v>
      </c>
      <c r="J1090" s="199" t="s">
        <v>415</v>
      </c>
      <c r="K1090" s="201">
        <v>45627</v>
      </c>
      <c r="L1090" s="199" t="s">
        <v>4328</v>
      </c>
      <c r="M1090" s="199" t="s">
        <v>3320</v>
      </c>
    </row>
    <row r="1091" spans="1:13" ht="85.5">
      <c r="A1091" s="199">
        <v>1090</v>
      </c>
      <c r="B1091" s="199" t="s">
        <v>4433</v>
      </c>
      <c r="C1091" s="199" t="s">
        <v>25</v>
      </c>
      <c r="D1091" s="199" t="s">
        <v>17</v>
      </c>
      <c r="E1091" s="199">
        <v>100</v>
      </c>
      <c r="F1091" s="199" t="s">
        <v>4397</v>
      </c>
      <c r="G1091" s="199" t="s">
        <v>4398</v>
      </c>
      <c r="H1091" s="200">
        <v>2443</v>
      </c>
      <c r="I1091" s="199" t="s">
        <v>38</v>
      </c>
      <c r="J1091" s="199" t="s">
        <v>415</v>
      </c>
      <c r="K1091" s="201">
        <v>45627</v>
      </c>
      <c r="L1091" s="199" t="s">
        <v>4328</v>
      </c>
      <c r="M1091" s="199" t="s">
        <v>3320</v>
      </c>
    </row>
    <row r="1092" spans="1:13" ht="85.5">
      <c r="A1092" s="199">
        <v>1091</v>
      </c>
      <c r="B1092" s="199" t="s">
        <v>4434</v>
      </c>
      <c r="C1092" s="199" t="s">
        <v>25</v>
      </c>
      <c r="D1092" s="199" t="s">
        <v>17</v>
      </c>
      <c r="E1092" s="199">
        <v>50</v>
      </c>
      <c r="F1092" s="199" t="s">
        <v>4397</v>
      </c>
      <c r="G1092" s="199" t="s">
        <v>4398</v>
      </c>
      <c r="H1092" s="200">
        <v>1191.5</v>
      </c>
      <c r="I1092" s="199" t="s">
        <v>38</v>
      </c>
      <c r="J1092" s="199" t="s">
        <v>415</v>
      </c>
      <c r="K1092" s="201">
        <v>45627</v>
      </c>
      <c r="L1092" s="199" t="s">
        <v>4328</v>
      </c>
      <c r="M1092" s="199" t="s">
        <v>3320</v>
      </c>
    </row>
    <row r="1093" spans="1:13" ht="85.5">
      <c r="A1093" s="199">
        <v>1092</v>
      </c>
      <c r="B1093" s="199" t="s">
        <v>4435</v>
      </c>
      <c r="C1093" s="199" t="s">
        <v>25</v>
      </c>
      <c r="D1093" s="199" t="s">
        <v>17</v>
      </c>
      <c r="E1093" s="199">
        <v>34300</v>
      </c>
      <c r="F1093" s="199" t="s">
        <v>816</v>
      </c>
      <c r="G1093" s="199" t="s">
        <v>4398</v>
      </c>
      <c r="H1093" s="200">
        <v>104615</v>
      </c>
      <c r="I1093" s="199" t="s">
        <v>38</v>
      </c>
      <c r="J1093" s="199" t="s">
        <v>415</v>
      </c>
      <c r="K1093" s="201">
        <v>45627</v>
      </c>
      <c r="L1093" s="199" t="s">
        <v>4328</v>
      </c>
      <c r="M1093" s="199" t="s">
        <v>3320</v>
      </c>
    </row>
    <row r="1094" spans="1:13" ht="99.75">
      <c r="A1094" s="199">
        <v>1093</v>
      </c>
      <c r="B1094" s="199" t="s">
        <v>4436</v>
      </c>
      <c r="C1094" s="199" t="s">
        <v>25</v>
      </c>
      <c r="D1094" s="199" t="s">
        <v>17</v>
      </c>
      <c r="E1094" s="199">
        <v>50</v>
      </c>
      <c r="F1094" s="199" t="s">
        <v>4397</v>
      </c>
      <c r="G1094" s="199" t="s">
        <v>4398</v>
      </c>
      <c r="H1094" s="200">
        <v>1227.5</v>
      </c>
      <c r="I1094" s="199" t="s">
        <v>38</v>
      </c>
      <c r="J1094" s="199" t="s">
        <v>415</v>
      </c>
      <c r="K1094" s="201">
        <v>45627</v>
      </c>
      <c r="L1094" s="199" t="s">
        <v>4328</v>
      </c>
      <c r="M1094" s="199" t="s">
        <v>3320</v>
      </c>
    </row>
    <row r="1095" spans="1:13" ht="99.75">
      <c r="A1095" s="199">
        <v>1094</v>
      </c>
      <c r="B1095" s="199" t="s">
        <v>4437</v>
      </c>
      <c r="C1095" s="199" t="s">
        <v>25</v>
      </c>
      <c r="D1095" s="199" t="s">
        <v>17</v>
      </c>
      <c r="E1095" s="199">
        <v>50</v>
      </c>
      <c r="F1095" s="199" t="s">
        <v>4397</v>
      </c>
      <c r="G1095" s="199" t="s">
        <v>4398</v>
      </c>
      <c r="H1095" s="200">
        <v>991.5</v>
      </c>
      <c r="I1095" s="199" t="s">
        <v>38</v>
      </c>
      <c r="J1095" s="199" t="s">
        <v>415</v>
      </c>
      <c r="K1095" s="201">
        <v>45627</v>
      </c>
      <c r="L1095" s="199" t="s">
        <v>4328</v>
      </c>
      <c r="M1095" s="199" t="s">
        <v>3320</v>
      </c>
    </row>
    <row r="1096" spans="1:13" ht="85.5">
      <c r="A1096" s="199">
        <v>1095</v>
      </c>
      <c r="B1096" s="199" t="s">
        <v>4438</v>
      </c>
      <c r="C1096" s="199" t="s">
        <v>25</v>
      </c>
      <c r="D1096" s="199" t="s">
        <v>17</v>
      </c>
      <c r="E1096" s="199">
        <v>500</v>
      </c>
      <c r="F1096" s="199" t="s">
        <v>4397</v>
      </c>
      <c r="G1096" s="199" t="s">
        <v>4398</v>
      </c>
      <c r="H1096" s="200">
        <v>5510</v>
      </c>
      <c r="I1096" s="199" t="s">
        <v>38</v>
      </c>
      <c r="J1096" s="199" t="s">
        <v>415</v>
      </c>
      <c r="K1096" s="201">
        <v>45627</v>
      </c>
      <c r="L1096" s="199" t="s">
        <v>4328</v>
      </c>
      <c r="M1096" s="199" t="s">
        <v>3320</v>
      </c>
    </row>
    <row r="1097" spans="1:13" ht="85.5">
      <c r="A1097" s="199">
        <v>1096</v>
      </c>
      <c r="B1097" s="199" t="s">
        <v>4439</v>
      </c>
      <c r="C1097" s="199" t="s">
        <v>25</v>
      </c>
      <c r="D1097" s="199" t="s">
        <v>17</v>
      </c>
      <c r="E1097" s="199">
        <v>800</v>
      </c>
      <c r="F1097" s="199" t="s">
        <v>4397</v>
      </c>
      <c r="G1097" s="199" t="s">
        <v>4398</v>
      </c>
      <c r="H1097" s="200">
        <v>14664</v>
      </c>
      <c r="I1097" s="199" t="s">
        <v>38</v>
      </c>
      <c r="J1097" s="199" t="s">
        <v>415</v>
      </c>
      <c r="K1097" s="201">
        <v>45627</v>
      </c>
      <c r="L1097" s="199" t="s">
        <v>4328</v>
      </c>
      <c r="M1097" s="199" t="s">
        <v>3320</v>
      </c>
    </row>
    <row r="1098" spans="1:13" ht="85.5">
      <c r="A1098" s="199">
        <v>1097</v>
      </c>
      <c r="B1098" s="199" t="s">
        <v>4440</v>
      </c>
      <c r="C1098" s="199" t="s">
        <v>25</v>
      </c>
      <c r="D1098" s="199" t="s">
        <v>17</v>
      </c>
      <c r="E1098" s="199">
        <v>100</v>
      </c>
      <c r="F1098" s="199" t="s">
        <v>4397</v>
      </c>
      <c r="G1098" s="199" t="s">
        <v>4398</v>
      </c>
      <c r="H1098" s="200">
        <v>2020</v>
      </c>
      <c r="I1098" s="199" t="s">
        <v>38</v>
      </c>
      <c r="J1098" s="199" t="s">
        <v>415</v>
      </c>
      <c r="K1098" s="201">
        <v>45627</v>
      </c>
      <c r="L1098" s="199" t="s">
        <v>4328</v>
      </c>
      <c r="M1098" s="199" t="s">
        <v>3320</v>
      </c>
    </row>
    <row r="1099" spans="1:13" ht="85.5">
      <c r="A1099" s="199">
        <v>1098</v>
      </c>
      <c r="B1099" s="199" t="s">
        <v>4441</v>
      </c>
      <c r="C1099" s="199" t="s">
        <v>25</v>
      </c>
      <c r="D1099" s="199" t="s">
        <v>17</v>
      </c>
      <c r="E1099" s="199">
        <v>100</v>
      </c>
      <c r="F1099" s="199" t="s">
        <v>4397</v>
      </c>
      <c r="G1099" s="199" t="s">
        <v>4398</v>
      </c>
      <c r="H1099" s="200">
        <v>2020</v>
      </c>
      <c r="I1099" s="199" t="s">
        <v>38</v>
      </c>
      <c r="J1099" s="199" t="s">
        <v>415</v>
      </c>
      <c r="K1099" s="201">
        <v>45627</v>
      </c>
      <c r="L1099" s="199" t="s">
        <v>4328</v>
      </c>
      <c r="M1099" s="199" t="s">
        <v>3320</v>
      </c>
    </row>
    <row r="1100" spans="1:13" ht="85.5">
      <c r="A1100" s="199">
        <v>1099</v>
      </c>
      <c r="B1100" s="199" t="s">
        <v>4442</v>
      </c>
      <c r="C1100" s="199" t="s">
        <v>25</v>
      </c>
      <c r="D1100" s="199" t="s">
        <v>17</v>
      </c>
      <c r="E1100" s="199">
        <v>50</v>
      </c>
      <c r="F1100" s="199" t="s">
        <v>4397</v>
      </c>
      <c r="G1100" s="199" t="s">
        <v>4398</v>
      </c>
      <c r="H1100" s="200">
        <v>659.5</v>
      </c>
      <c r="I1100" s="199" t="s">
        <v>38</v>
      </c>
      <c r="J1100" s="199" t="s">
        <v>415</v>
      </c>
      <c r="K1100" s="201">
        <v>45627</v>
      </c>
      <c r="L1100" s="199" t="s">
        <v>4328</v>
      </c>
      <c r="M1100" s="199" t="s">
        <v>3320</v>
      </c>
    </row>
    <row r="1101" spans="1:13" ht="85.5">
      <c r="A1101" s="199">
        <v>1100</v>
      </c>
      <c r="B1101" s="199" t="s">
        <v>4443</v>
      </c>
      <c r="C1101" s="199" t="s">
        <v>25</v>
      </c>
      <c r="D1101" s="199" t="s">
        <v>17</v>
      </c>
      <c r="E1101" s="199">
        <v>150</v>
      </c>
      <c r="F1101" s="199" t="s">
        <v>4397</v>
      </c>
      <c r="G1101" s="199" t="s">
        <v>4398</v>
      </c>
      <c r="H1101" s="200">
        <v>5884.5</v>
      </c>
      <c r="I1101" s="199" t="s">
        <v>38</v>
      </c>
      <c r="J1101" s="199" t="s">
        <v>415</v>
      </c>
      <c r="K1101" s="201">
        <v>45627</v>
      </c>
      <c r="L1101" s="199" t="s">
        <v>4328</v>
      </c>
      <c r="M1101" s="199" t="s">
        <v>3320</v>
      </c>
    </row>
    <row r="1102" spans="1:13" ht="85.5">
      <c r="A1102" s="199">
        <v>1101</v>
      </c>
      <c r="B1102" s="199" t="s">
        <v>4444</v>
      </c>
      <c r="C1102" s="199" t="s">
        <v>25</v>
      </c>
      <c r="D1102" s="199" t="s">
        <v>17</v>
      </c>
      <c r="E1102" s="199">
        <v>50</v>
      </c>
      <c r="F1102" s="199" t="s">
        <v>4397</v>
      </c>
      <c r="G1102" s="199" t="s">
        <v>4398</v>
      </c>
      <c r="H1102" s="200">
        <v>734.5</v>
      </c>
      <c r="I1102" s="199" t="s">
        <v>38</v>
      </c>
      <c r="J1102" s="199" t="s">
        <v>415</v>
      </c>
      <c r="K1102" s="201">
        <v>45627</v>
      </c>
      <c r="L1102" s="199" t="s">
        <v>4328</v>
      </c>
      <c r="M1102" s="199" t="s">
        <v>3320</v>
      </c>
    </row>
    <row r="1103" spans="1:13" ht="85.5">
      <c r="A1103" s="199">
        <v>1102</v>
      </c>
      <c r="B1103" s="199" t="s">
        <v>4445</v>
      </c>
      <c r="C1103" s="199" t="s">
        <v>25</v>
      </c>
      <c r="D1103" s="199" t="s">
        <v>17</v>
      </c>
      <c r="E1103" s="199">
        <v>50</v>
      </c>
      <c r="F1103" s="199" t="s">
        <v>4397</v>
      </c>
      <c r="G1103" s="199" t="s">
        <v>4398</v>
      </c>
      <c r="H1103" s="200">
        <v>734.5</v>
      </c>
      <c r="I1103" s="199" t="s">
        <v>38</v>
      </c>
      <c r="J1103" s="199" t="s">
        <v>415</v>
      </c>
      <c r="K1103" s="201">
        <v>45627</v>
      </c>
      <c r="L1103" s="199" t="s">
        <v>4328</v>
      </c>
      <c r="M1103" s="199" t="s">
        <v>3320</v>
      </c>
    </row>
    <row r="1104" spans="1:13" ht="85.5">
      <c r="A1104" s="199">
        <v>1103</v>
      </c>
      <c r="B1104" s="199" t="s">
        <v>4446</v>
      </c>
      <c r="C1104" s="199" t="s">
        <v>25</v>
      </c>
      <c r="D1104" s="199" t="s">
        <v>17</v>
      </c>
      <c r="E1104" s="199">
        <v>50</v>
      </c>
      <c r="F1104" s="199" t="s">
        <v>4397</v>
      </c>
      <c r="G1104" s="199" t="s">
        <v>4398</v>
      </c>
      <c r="H1104" s="200">
        <v>909.5</v>
      </c>
      <c r="I1104" s="199" t="s">
        <v>38</v>
      </c>
      <c r="J1104" s="199" t="s">
        <v>415</v>
      </c>
      <c r="K1104" s="201">
        <v>45627</v>
      </c>
      <c r="L1104" s="199" t="s">
        <v>4328</v>
      </c>
      <c r="M1104" s="199" t="s">
        <v>3320</v>
      </c>
    </row>
    <row r="1105" spans="1:13" ht="85.5">
      <c r="A1105" s="199">
        <v>1104</v>
      </c>
      <c r="B1105" s="199" t="s">
        <v>4447</v>
      </c>
      <c r="C1105" s="199" t="s">
        <v>25</v>
      </c>
      <c r="D1105" s="199" t="s">
        <v>17</v>
      </c>
      <c r="E1105" s="199">
        <v>50</v>
      </c>
      <c r="F1105" s="199" t="s">
        <v>4397</v>
      </c>
      <c r="G1105" s="199" t="s">
        <v>4398</v>
      </c>
      <c r="H1105" s="200">
        <v>1047</v>
      </c>
      <c r="I1105" s="199" t="s">
        <v>38</v>
      </c>
      <c r="J1105" s="199" t="s">
        <v>415</v>
      </c>
      <c r="K1105" s="201">
        <v>45627</v>
      </c>
      <c r="L1105" s="199" t="s">
        <v>4328</v>
      </c>
      <c r="M1105" s="199" t="s">
        <v>3320</v>
      </c>
    </row>
    <row r="1106" spans="1:13" ht="85.5">
      <c r="A1106" s="199">
        <v>1105</v>
      </c>
      <c r="B1106" s="199" t="s">
        <v>4448</v>
      </c>
      <c r="C1106" s="199" t="s">
        <v>25</v>
      </c>
      <c r="D1106" s="199" t="s">
        <v>17</v>
      </c>
      <c r="E1106" s="199">
        <v>2700</v>
      </c>
      <c r="F1106" s="199" t="s">
        <v>4397</v>
      </c>
      <c r="G1106" s="199" t="s">
        <v>4398</v>
      </c>
      <c r="H1106" s="200">
        <v>63180</v>
      </c>
      <c r="I1106" s="199" t="s">
        <v>38</v>
      </c>
      <c r="J1106" s="199" t="s">
        <v>415</v>
      </c>
      <c r="K1106" s="201">
        <v>45627</v>
      </c>
      <c r="L1106" s="199" t="s">
        <v>4328</v>
      </c>
      <c r="M1106" s="199" t="s">
        <v>3320</v>
      </c>
    </row>
    <row r="1107" spans="1:13" ht="85.5">
      <c r="A1107" s="199">
        <v>1106</v>
      </c>
      <c r="B1107" s="199" t="s">
        <v>4449</v>
      </c>
      <c r="C1107" s="199" t="s">
        <v>25</v>
      </c>
      <c r="D1107" s="199" t="s">
        <v>17</v>
      </c>
      <c r="E1107" s="199">
        <v>1700</v>
      </c>
      <c r="F1107" s="199" t="s">
        <v>4397</v>
      </c>
      <c r="G1107" s="199" t="s">
        <v>4398</v>
      </c>
      <c r="H1107" s="200">
        <v>41191</v>
      </c>
      <c r="I1107" s="199" t="s">
        <v>38</v>
      </c>
      <c r="J1107" s="199" t="s">
        <v>415</v>
      </c>
      <c r="K1107" s="201">
        <v>45627</v>
      </c>
      <c r="L1107" s="199" t="s">
        <v>4328</v>
      </c>
      <c r="M1107" s="199" t="s">
        <v>3320</v>
      </c>
    </row>
    <row r="1108" spans="1:13" ht="85.5">
      <c r="A1108" s="199">
        <v>1107</v>
      </c>
      <c r="B1108" s="199" t="s">
        <v>4450</v>
      </c>
      <c r="C1108" s="199" t="s">
        <v>25</v>
      </c>
      <c r="D1108" s="199" t="s">
        <v>17</v>
      </c>
      <c r="E1108" s="199">
        <v>200</v>
      </c>
      <c r="F1108" s="199" t="s">
        <v>4397</v>
      </c>
      <c r="G1108" s="199" t="s">
        <v>4398</v>
      </c>
      <c r="H1108" s="200">
        <v>9206</v>
      </c>
      <c r="I1108" s="199" t="s">
        <v>38</v>
      </c>
      <c r="J1108" s="199" t="s">
        <v>415</v>
      </c>
      <c r="K1108" s="201">
        <v>45627</v>
      </c>
      <c r="L1108" s="199" t="s">
        <v>4328</v>
      </c>
      <c r="M1108" s="199" t="s">
        <v>3320</v>
      </c>
    </row>
    <row r="1109" spans="1:13" ht="85.5">
      <c r="A1109" s="199">
        <v>1108</v>
      </c>
      <c r="B1109" s="199" t="s">
        <v>4451</v>
      </c>
      <c r="C1109" s="199" t="s">
        <v>25</v>
      </c>
      <c r="D1109" s="199" t="s">
        <v>17</v>
      </c>
      <c r="E1109" s="199">
        <v>200</v>
      </c>
      <c r="F1109" s="199" t="s">
        <v>4397</v>
      </c>
      <c r="G1109" s="199" t="s">
        <v>4398</v>
      </c>
      <c r="H1109" s="200">
        <v>4080</v>
      </c>
      <c r="I1109" s="199" t="s">
        <v>38</v>
      </c>
      <c r="J1109" s="199" t="s">
        <v>415</v>
      </c>
      <c r="K1109" s="201">
        <v>45627</v>
      </c>
      <c r="L1109" s="199" t="s">
        <v>4328</v>
      </c>
      <c r="M1109" s="199" t="s">
        <v>3320</v>
      </c>
    </row>
    <row r="1110" spans="1:13" ht="85.5">
      <c r="A1110" s="199">
        <v>1109</v>
      </c>
      <c r="B1110" s="199" t="s">
        <v>4452</v>
      </c>
      <c r="C1110" s="199" t="s">
        <v>25</v>
      </c>
      <c r="D1110" s="199" t="s">
        <v>17</v>
      </c>
      <c r="E1110" s="199">
        <v>50</v>
      </c>
      <c r="F1110" s="199" t="s">
        <v>4397</v>
      </c>
      <c r="G1110" s="199" t="s">
        <v>4398</v>
      </c>
      <c r="H1110" s="200">
        <v>1231.5</v>
      </c>
      <c r="I1110" s="199" t="s">
        <v>38</v>
      </c>
      <c r="J1110" s="199" t="s">
        <v>415</v>
      </c>
      <c r="K1110" s="201">
        <v>45627</v>
      </c>
      <c r="L1110" s="199" t="s">
        <v>4328</v>
      </c>
      <c r="M1110" s="199" t="s">
        <v>3320</v>
      </c>
    </row>
    <row r="1111" spans="1:13" ht="85.5">
      <c r="A1111" s="199">
        <v>1110</v>
      </c>
      <c r="B1111" s="199" t="s">
        <v>4453</v>
      </c>
      <c r="C1111" s="199" t="s">
        <v>25</v>
      </c>
      <c r="D1111" s="199" t="s">
        <v>17</v>
      </c>
      <c r="E1111" s="199">
        <v>500</v>
      </c>
      <c r="F1111" s="199" t="s">
        <v>4397</v>
      </c>
      <c r="G1111" s="199" t="s">
        <v>4398</v>
      </c>
      <c r="H1111" s="200">
        <v>9760</v>
      </c>
      <c r="I1111" s="199" t="s">
        <v>38</v>
      </c>
      <c r="J1111" s="199" t="s">
        <v>415</v>
      </c>
      <c r="K1111" s="201">
        <v>45627</v>
      </c>
      <c r="L1111" s="199" t="s">
        <v>4328</v>
      </c>
      <c r="M1111" s="199" t="s">
        <v>3320</v>
      </c>
    </row>
    <row r="1112" spans="1:13" ht="85.5">
      <c r="A1112" s="199">
        <v>1111</v>
      </c>
      <c r="B1112" s="199" t="s">
        <v>4454</v>
      </c>
      <c r="C1112" s="199" t="s">
        <v>25</v>
      </c>
      <c r="D1112" s="199" t="s">
        <v>17</v>
      </c>
      <c r="E1112" s="199">
        <v>50</v>
      </c>
      <c r="F1112" s="199" t="s">
        <v>4397</v>
      </c>
      <c r="G1112" s="199" t="s">
        <v>4398</v>
      </c>
      <c r="H1112" s="200">
        <v>1084.5</v>
      </c>
      <c r="I1112" s="199" t="s">
        <v>38</v>
      </c>
      <c r="J1112" s="199" t="s">
        <v>415</v>
      </c>
      <c r="K1112" s="201">
        <v>45627</v>
      </c>
      <c r="L1112" s="199" t="s">
        <v>4328</v>
      </c>
      <c r="M1112" s="199" t="s">
        <v>3320</v>
      </c>
    </row>
    <row r="1113" spans="1:13" ht="85.5">
      <c r="A1113" s="199">
        <v>1112</v>
      </c>
      <c r="B1113" s="199" t="s">
        <v>4455</v>
      </c>
      <c r="C1113" s="199" t="s">
        <v>25</v>
      </c>
      <c r="D1113" s="199" t="s">
        <v>17</v>
      </c>
      <c r="E1113" s="199">
        <v>2500</v>
      </c>
      <c r="F1113" s="199" t="s">
        <v>4397</v>
      </c>
      <c r="G1113" s="199" t="s">
        <v>4398</v>
      </c>
      <c r="H1113" s="200">
        <v>28750</v>
      </c>
      <c r="I1113" s="199" t="s">
        <v>38</v>
      </c>
      <c r="J1113" s="199" t="s">
        <v>415</v>
      </c>
      <c r="K1113" s="201">
        <v>45627</v>
      </c>
      <c r="L1113" s="199" t="s">
        <v>4328</v>
      </c>
      <c r="M1113" s="199" t="s">
        <v>3320</v>
      </c>
    </row>
    <row r="1114" spans="1:13" ht="114">
      <c r="A1114" s="199">
        <v>1113</v>
      </c>
      <c r="B1114" s="199" t="s">
        <v>4456</v>
      </c>
      <c r="C1114" s="199" t="s">
        <v>25</v>
      </c>
      <c r="D1114" s="199" t="s">
        <v>17</v>
      </c>
      <c r="E1114" s="199">
        <v>2390</v>
      </c>
      <c r="F1114" s="199" t="s">
        <v>816</v>
      </c>
      <c r="G1114" s="199" t="s">
        <v>4398</v>
      </c>
      <c r="H1114" s="200">
        <v>15319.9</v>
      </c>
      <c r="I1114" s="199" t="s">
        <v>38</v>
      </c>
      <c r="J1114" s="199" t="s">
        <v>415</v>
      </c>
      <c r="K1114" s="201">
        <v>45627</v>
      </c>
      <c r="L1114" s="199" t="s">
        <v>4328</v>
      </c>
      <c r="M1114" s="199" t="s">
        <v>3320</v>
      </c>
    </row>
    <row r="1115" spans="1:13" ht="114">
      <c r="A1115" s="199">
        <v>1114</v>
      </c>
      <c r="B1115" s="199" t="s">
        <v>4457</v>
      </c>
      <c r="C1115" s="199" t="s">
        <v>25</v>
      </c>
      <c r="D1115" s="199" t="s">
        <v>17</v>
      </c>
      <c r="E1115" s="199">
        <v>880</v>
      </c>
      <c r="F1115" s="199" t="s">
        <v>816</v>
      </c>
      <c r="G1115" s="199" t="s">
        <v>4398</v>
      </c>
      <c r="H1115" s="200">
        <v>108530.4</v>
      </c>
      <c r="I1115" s="199" t="s">
        <v>38</v>
      </c>
      <c r="J1115" s="199" t="s">
        <v>415</v>
      </c>
      <c r="K1115" s="201">
        <v>45627</v>
      </c>
      <c r="L1115" s="199" t="s">
        <v>4328</v>
      </c>
      <c r="M1115" s="199" t="s">
        <v>3320</v>
      </c>
    </row>
    <row r="1116" spans="1:13" ht="85.5">
      <c r="A1116" s="199">
        <v>1115</v>
      </c>
      <c r="B1116" s="199" t="s">
        <v>4458</v>
      </c>
      <c r="C1116" s="199" t="s">
        <v>25</v>
      </c>
      <c r="D1116" s="199" t="s">
        <v>17</v>
      </c>
      <c r="E1116" s="199">
        <v>300</v>
      </c>
      <c r="F1116" s="199" t="s">
        <v>4397</v>
      </c>
      <c r="G1116" s="199" t="s">
        <v>4398</v>
      </c>
      <c r="H1116" s="200">
        <v>3708</v>
      </c>
      <c r="I1116" s="199" t="s">
        <v>38</v>
      </c>
      <c r="J1116" s="199" t="s">
        <v>415</v>
      </c>
      <c r="K1116" s="201">
        <v>45627</v>
      </c>
      <c r="L1116" s="199" t="s">
        <v>4328</v>
      </c>
      <c r="M1116" s="199" t="s">
        <v>3320</v>
      </c>
    </row>
    <row r="1117" spans="1:13" ht="85.5">
      <c r="A1117" s="199">
        <v>1116</v>
      </c>
      <c r="B1117" s="199" t="s">
        <v>4459</v>
      </c>
      <c r="C1117" s="199" t="s">
        <v>25</v>
      </c>
      <c r="D1117" s="199" t="s">
        <v>17</v>
      </c>
      <c r="E1117" s="199">
        <v>50</v>
      </c>
      <c r="F1117" s="199" t="s">
        <v>4397</v>
      </c>
      <c r="G1117" s="199" t="s">
        <v>4398</v>
      </c>
      <c r="H1117" s="200">
        <v>1117</v>
      </c>
      <c r="I1117" s="199" t="s">
        <v>38</v>
      </c>
      <c r="J1117" s="199" t="s">
        <v>415</v>
      </c>
      <c r="K1117" s="201">
        <v>45627</v>
      </c>
      <c r="L1117" s="199" t="s">
        <v>4328</v>
      </c>
      <c r="M1117" s="199" t="s">
        <v>3320</v>
      </c>
    </row>
    <row r="1118" spans="1:13" ht="85.5">
      <c r="A1118" s="199">
        <v>1117</v>
      </c>
      <c r="B1118" s="199" t="s">
        <v>4460</v>
      </c>
      <c r="C1118" s="199" t="s">
        <v>25</v>
      </c>
      <c r="D1118" s="199" t="s">
        <v>17</v>
      </c>
      <c r="E1118" s="199">
        <v>50</v>
      </c>
      <c r="F1118" s="199" t="s">
        <v>4397</v>
      </c>
      <c r="G1118" s="199" t="s">
        <v>4398</v>
      </c>
      <c r="H1118" s="200">
        <v>2782.5</v>
      </c>
      <c r="I1118" s="199" t="s">
        <v>38</v>
      </c>
      <c r="J1118" s="199" t="s">
        <v>415</v>
      </c>
      <c r="K1118" s="201">
        <v>45627</v>
      </c>
      <c r="L1118" s="199" t="s">
        <v>4328</v>
      </c>
      <c r="M1118" s="199" t="s">
        <v>3320</v>
      </c>
    </row>
    <row r="1119" spans="1:13" ht="85.5">
      <c r="A1119" s="199">
        <v>1118</v>
      </c>
      <c r="B1119" s="199" t="s">
        <v>4461</v>
      </c>
      <c r="C1119" s="199" t="s">
        <v>25</v>
      </c>
      <c r="D1119" s="199" t="s">
        <v>17</v>
      </c>
      <c r="E1119" s="199">
        <v>26605</v>
      </c>
      <c r="F1119" s="199" t="s">
        <v>816</v>
      </c>
      <c r="G1119" s="199" t="s">
        <v>4398</v>
      </c>
      <c r="H1119" s="200">
        <v>100034.8</v>
      </c>
      <c r="I1119" s="199" t="s">
        <v>38</v>
      </c>
      <c r="J1119" s="199" t="s">
        <v>415</v>
      </c>
      <c r="K1119" s="201">
        <v>45627</v>
      </c>
      <c r="L1119" s="199" t="s">
        <v>4328</v>
      </c>
      <c r="M1119" s="199" t="s">
        <v>3320</v>
      </c>
    </row>
    <row r="1120" spans="1:13" ht="85.5">
      <c r="A1120" s="199">
        <v>1119</v>
      </c>
      <c r="B1120" s="199" t="s">
        <v>4461</v>
      </c>
      <c r="C1120" s="199" t="s">
        <v>25</v>
      </c>
      <c r="D1120" s="199" t="s">
        <v>17</v>
      </c>
      <c r="E1120" s="199">
        <v>23305</v>
      </c>
      <c r="F1120" s="199" t="s">
        <v>816</v>
      </c>
      <c r="G1120" s="199" t="s">
        <v>4398</v>
      </c>
      <c r="H1120" s="200">
        <v>116058.9</v>
      </c>
      <c r="I1120" s="199" t="s">
        <v>38</v>
      </c>
      <c r="J1120" s="199" t="s">
        <v>415</v>
      </c>
      <c r="K1120" s="201">
        <v>45627</v>
      </c>
      <c r="L1120" s="199" t="s">
        <v>4328</v>
      </c>
      <c r="M1120" s="199" t="s">
        <v>3320</v>
      </c>
    </row>
    <row r="1121" spans="1:13" ht="99.75">
      <c r="A1121" s="199">
        <v>1120</v>
      </c>
      <c r="B1121" s="199" t="s">
        <v>4462</v>
      </c>
      <c r="C1121" s="199" t="s">
        <v>25</v>
      </c>
      <c r="D1121" s="199" t="s">
        <v>17</v>
      </c>
      <c r="E1121" s="199">
        <v>554</v>
      </c>
      <c r="F1121" s="199" t="s">
        <v>816</v>
      </c>
      <c r="G1121" s="199" t="s">
        <v>4398</v>
      </c>
      <c r="H1121" s="200">
        <v>46397.5</v>
      </c>
      <c r="I1121" s="199" t="s">
        <v>38</v>
      </c>
      <c r="J1121" s="199" t="s">
        <v>415</v>
      </c>
      <c r="K1121" s="201">
        <v>45627</v>
      </c>
      <c r="L1121" s="199" t="s">
        <v>4328</v>
      </c>
      <c r="M1121" s="199" t="s">
        <v>3320</v>
      </c>
    </row>
    <row r="1122" spans="1:13" ht="99.75">
      <c r="A1122" s="199">
        <v>1121</v>
      </c>
      <c r="B1122" s="199" t="s">
        <v>4463</v>
      </c>
      <c r="C1122" s="199" t="s">
        <v>25</v>
      </c>
      <c r="D1122" s="199" t="s">
        <v>17</v>
      </c>
      <c r="E1122" s="199">
        <v>91</v>
      </c>
      <c r="F1122" s="199" t="s">
        <v>816</v>
      </c>
      <c r="G1122" s="199" t="s">
        <v>4398</v>
      </c>
      <c r="H1122" s="200">
        <v>10010</v>
      </c>
      <c r="I1122" s="199" t="s">
        <v>38</v>
      </c>
      <c r="J1122" s="199" t="s">
        <v>415</v>
      </c>
      <c r="K1122" s="201">
        <v>45627</v>
      </c>
      <c r="L1122" s="199" t="s">
        <v>4328</v>
      </c>
      <c r="M1122" s="199" t="s">
        <v>3320</v>
      </c>
    </row>
    <row r="1123" spans="1:13" ht="99.75">
      <c r="A1123" s="199">
        <v>1122</v>
      </c>
      <c r="B1123" s="199" t="s">
        <v>4463</v>
      </c>
      <c r="C1123" s="199" t="s">
        <v>25</v>
      </c>
      <c r="D1123" s="199" t="s">
        <v>17</v>
      </c>
      <c r="E1123" s="199">
        <v>134</v>
      </c>
      <c r="F1123" s="199" t="s">
        <v>816</v>
      </c>
      <c r="G1123" s="199" t="s">
        <v>4398</v>
      </c>
      <c r="H1123" s="200">
        <v>11613.78</v>
      </c>
      <c r="I1123" s="199" t="s">
        <v>38</v>
      </c>
      <c r="J1123" s="199" t="s">
        <v>415</v>
      </c>
      <c r="K1123" s="201">
        <v>45627</v>
      </c>
      <c r="L1123" s="199" t="s">
        <v>4328</v>
      </c>
      <c r="M1123" s="199" t="s">
        <v>3320</v>
      </c>
    </row>
    <row r="1124" spans="1:13" ht="99.75">
      <c r="A1124" s="199">
        <v>1123</v>
      </c>
      <c r="B1124" s="199" t="s">
        <v>4463</v>
      </c>
      <c r="C1124" s="199" t="s">
        <v>25</v>
      </c>
      <c r="D1124" s="199" t="s">
        <v>17</v>
      </c>
      <c r="E1124" s="199">
        <v>149</v>
      </c>
      <c r="F1124" s="199" t="s">
        <v>816</v>
      </c>
      <c r="G1124" s="199" t="s">
        <v>4398</v>
      </c>
      <c r="H1124" s="200">
        <v>11994.5</v>
      </c>
      <c r="I1124" s="199" t="s">
        <v>38</v>
      </c>
      <c r="J1124" s="199" t="s">
        <v>415</v>
      </c>
      <c r="K1124" s="201">
        <v>45627</v>
      </c>
      <c r="L1124" s="199" t="s">
        <v>4328</v>
      </c>
      <c r="M1124" s="199" t="s">
        <v>3320</v>
      </c>
    </row>
    <row r="1125" spans="1:13" ht="99.75">
      <c r="A1125" s="199">
        <v>1124</v>
      </c>
      <c r="B1125" s="199" t="s">
        <v>4463</v>
      </c>
      <c r="C1125" s="199" t="s">
        <v>25</v>
      </c>
      <c r="D1125" s="199" t="s">
        <v>17</v>
      </c>
      <c r="E1125" s="199">
        <v>86</v>
      </c>
      <c r="F1125" s="199" t="s">
        <v>816</v>
      </c>
      <c r="G1125" s="199" t="s">
        <v>4398</v>
      </c>
      <c r="H1125" s="200">
        <v>8800.3799999999992</v>
      </c>
      <c r="I1125" s="199" t="s">
        <v>38</v>
      </c>
      <c r="J1125" s="199" t="s">
        <v>415</v>
      </c>
      <c r="K1125" s="201">
        <v>45627</v>
      </c>
      <c r="L1125" s="199" t="s">
        <v>4328</v>
      </c>
      <c r="M1125" s="199" t="s">
        <v>3320</v>
      </c>
    </row>
    <row r="1126" spans="1:13" ht="99.75">
      <c r="A1126" s="199">
        <v>1125</v>
      </c>
      <c r="B1126" s="199" t="s">
        <v>4463</v>
      </c>
      <c r="C1126" s="199" t="s">
        <v>25</v>
      </c>
      <c r="D1126" s="199" t="s">
        <v>17</v>
      </c>
      <c r="E1126" s="199">
        <v>149</v>
      </c>
      <c r="F1126" s="199" t="s">
        <v>816</v>
      </c>
      <c r="G1126" s="199" t="s">
        <v>4398</v>
      </c>
      <c r="H1126" s="200">
        <v>14403.83</v>
      </c>
      <c r="I1126" s="199" t="s">
        <v>38</v>
      </c>
      <c r="J1126" s="199" t="s">
        <v>415</v>
      </c>
      <c r="K1126" s="201">
        <v>45627</v>
      </c>
      <c r="L1126" s="199" t="s">
        <v>4328</v>
      </c>
      <c r="M1126" s="199" t="s">
        <v>3320</v>
      </c>
    </row>
    <row r="1127" spans="1:13" ht="99.75">
      <c r="A1127" s="199">
        <v>1126</v>
      </c>
      <c r="B1127" s="199" t="s">
        <v>4463</v>
      </c>
      <c r="C1127" s="199" t="s">
        <v>25</v>
      </c>
      <c r="D1127" s="199" t="s">
        <v>17</v>
      </c>
      <c r="E1127" s="199">
        <v>82</v>
      </c>
      <c r="F1127" s="199" t="s">
        <v>816</v>
      </c>
      <c r="G1127" s="199" t="s">
        <v>4398</v>
      </c>
      <c r="H1127" s="200">
        <v>9102</v>
      </c>
      <c r="I1127" s="199" t="s">
        <v>38</v>
      </c>
      <c r="J1127" s="199" t="s">
        <v>415</v>
      </c>
      <c r="K1127" s="201">
        <v>45627</v>
      </c>
      <c r="L1127" s="199" t="s">
        <v>4328</v>
      </c>
      <c r="M1127" s="199" t="s">
        <v>3320</v>
      </c>
    </row>
    <row r="1128" spans="1:13" ht="99.75">
      <c r="A1128" s="199">
        <v>1127</v>
      </c>
      <c r="B1128" s="199" t="s">
        <v>4463</v>
      </c>
      <c r="C1128" s="199" t="s">
        <v>25</v>
      </c>
      <c r="D1128" s="199" t="s">
        <v>17</v>
      </c>
      <c r="E1128" s="199">
        <v>50</v>
      </c>
      <c r="F1128" s="199" t="s">
        <v>816</v>
      </c>
      <c r="G1128" s="199" t="s">
        <v>4398</v>
      </c>
      <c r="H1128" s="200">
        <v>6383.5</v>
      </c>
      <c r="I1128" s="199" t="s">
        <v>38</v>
      </c>
      <c r="J1128" s="199" t="s">
        <v>415</v>
      </c>
      <c r="K1128" s="201">
        <v>45627</v>
      </c>
      <c r="L1128" s="199" t="s">
        <v>4328</v>
      </c>
      <c r="M1128" s="199" t="s">
        <v>3320</v>
      </c>
    </row>
    <row r="1129" spans="1:13" ht="99.75">
      <c r="A1129" s="199">
        <v>1128</v>
      </c>
      <c r="B1129" s="199" t="s">
        <v>4463</v>
      </c>
      <c r="C1129" s="199" t="s">
        <v>25</v>
      </c>
      <c r="D1129" s="199" t="s">
        <v>17</v>
      </c>
      <c r="E1129" s="199">
        <v>53</v>
      </c>
      <c r="F1129" s="199" t="s">
        <v>816</v>
      </c>
      <c r="G1129" s="199" t="s">
        <v>4398</v>
      </c>
      <c r="H1129" s="200">
        <v>5105.49</v>
      </c>
      <c r="I1129" s="199" t="s">
        <v>38</v>
      </c>
      <c r="J1129" s="199" t="s">
        <v>415</v>
      </c>
      <c r="K1129" s="201">
        <v>45627</v>
      </c>
      <c r="L1129" s="199" t="s">
        <v>4328</v>
      </c>
      <c r="M1129" s="199" t="s">
        <v>3320</v>
      </c>
    </row>
    <row r="1130" spans="1:13" ht="99.75">
      <c r="A1130" s="199">
        <v>1129</v>
      </c>
      <c r="B1130" s="199" t="s">
        <v>4463</v>
      </c>
      <c r="C1130" s="199" t="s">
        <v>25</v>
      </c>
      <c r="D1130" s="199" t="s">
        <v>17</v>
      </c>
      <c r="E1130" s="199">
        <v>36</v>
      </c>
      <c r="F1130" s="199" t="s">
        <v>816</v>
      </c>
      <c r="G1130" s="199" t="s">
        <v>4398</v>
      </c>
      <c r="H1130" s="200">
        <v>6252.12</v>
      </c>
      <c r="I1130" s="199" t="s">
        <v>38</v>
      </c>
      <c r="J1130" s="199" t="s">
        <v>415</v>
      </c>
      <c r="K1130" s="201">
        <v>45627</v>
      </c>
      <c r="L1130" s="199" t="s">
        <v>4328</v>
      </c>
      <c r="M1130" s="199" t="s">
        <v>3320</v>
      </c>
    </row>
    <row r="1131" spans="1:13" ht="99.75">
      <c r="A1131" s="199">
        <v>1130</v>
      </c>
      <c r="B1131" s="199" t="s">
        <v>4463</v>
      </c>
      <c r="C1131" s="199" t="s">
        <v>25</v>
      </c>
      <c r="D1131" s="199" t="s">
        <v>17</v>
      </c>
      <c r="E1131" s="199">
        <v>35</v>
      </c>
      <c r="F1131" s="199" t="s">
        <v>816</v>
      </c>
      <c r="G1131" s="199" t="s">
        <v>4398</v>
      </c>
      <c r="H1131" s="200">
        <v>5121.55</v>
      </c>
      <c r="I1131" s="199" t="s">
        <v>38</v>
      </c>
      <c r="J1131" s="199" t="s">
        <v>415</v>
      </c>
      <c r="K1131" s="201">
        <v>45627</v>
      </c>
      <c r="L1131" s="199" t="s">
        <v>4328</v>
      </c>
      <c r="M1131" s="199" t="s">
        <v>3320</v>
      </c>
    </row>
    <row r="1132" spans="1:13" ht="99.75">
      <c r="A1132" s="199">
        <v>1131</v>
      </c>
      <c r="B1132" s="199" t="s">
        <v>4463</v>
      </c>
      <c r="C1132" s="199" t="s">
        <v>25</v>
      </c>
      <c r="D1132" s="199" t="s">
        <v>17</v>
      </c>
      <c r="E1132" s="199">
        <v>35</v>
      </c>
      <c r="F1132" s="199" t="s">
        <v>816</v>
      </c>
      <c r="G1132" s="199" t="s">
        <v>4398</v>
      </c>
      <c r="H1132" s="200">
        <v>2881.55</v>
      </c>
      <c r="I1132" s="199" t="s">
        <v>38</v>
      </c>
      <c r="J1132" s="199" t="s">
        <v>415</v>
      </c>
      <c r="K1132" s="201">
        <v>45627</v>
      </c>
      <c r="L1132" s="199" t="s">
        <v>4328</v>
      </c>
      <c r="M1132" s="199" t="s">
        <v>3320</v>
      </c>
    </row>
    <row r="1133" spans="1:13" ht="85.5">
      <c r="A1133" s="199">
        <v>1132</v>
      </c>
      <c r="B1133" s="199" t="s">
        <v>4464</v>
      </c>
      <c r="C1133" s="199" t="s">
        <v>25</v>
      </c>
      <c r="D1133" s="199" t="s">
        <v>17</v>
      </c>
      <c r="E1133" s="199">
        <v>500</v>
      </c>
      <c r="F1133" s="199" t="s">
        <v>816</v>
      </c>
      <c r="G1133" s="199" t="s">
        <v>4398</v>
      </c>
      <c r="H1133" s="200">
        <v>1385</v>
      </c>
      <c r="I1133" s="199" t="s">
        <v>38</v>
      </c>
      <c r="J1133" s="199" t="s">
        <v>415</v>
      </c>
      <c r="K1133" s="201">
        <v>45627</v>
      </c>
      <c r="L1133" s="199" t="s">
        <v>4328</v>
      </c>
      <c r="M1133" s="199" t="s">
        <v>3320</v>
      </c>
    </row>
    <row r="1134" spans="1:13" ht="85.5">
      <c r="A1134" s="199">
        <v>1133</v>
      </c>
      <c r="B1134" s="199" t="s">
        <v>4464</v>
      </c>
      <c r="C1134" s="199" t="s">
        <v>25</v>
      </c>
      <c r="D1134" s="199" t="s">
        <v>17</v>
      </c>
      <c r="E1134" s="199">
        <v>500</v>
      </c>
      <c r="F1134" s="199" t="s">
        <v>816</v>
      </c>
      <c r="G1134" s="199" t="s">
        <v>4398</v>
      </c>
      <c r="H1134" s="200">
        <v>1360</v>
      </c>
      <c r="I1134" s="199" t="s">
        <v>38</v>
      </c>
      <c r="J1134" s="199" t="s">
        <v>415</v>
      </c>
      <c r="K1134" s="201">
        <v>45627</v>
      </c>
      <c r="L1134" s="199" t="s">
        <v>4328</v>
      </c>
      <c r="M1134" s="199" t="s">
        <v>3320</v>
      </c>
    </row>
    <row r="1135" spans="1:13" ht="85.5">
      <c r="A1135" s="199">
        <v>1134</v>
      </c>
      <c r="B1135" s="199" t="s">
        <v>4465</v>
      </c>
      <c r="C1135" s="199" t="s">
        <v>25</v>
      </c>
      <c r="D1135" s="199" t="s">
        <v>17</v>
      </c>
      <c r="E1135" s="199">
        <v>500</v>
      </c>
      <c r="F1135" s="199" t="s">
        <v>4397</v>
      </c>
      <c r="G1135" s="199" t="s">
        <v>4398</v>
      </c>
      <c r="H1135" s="200">
        <v>16305</v>
      </c>
      <c r="I1135" s="199" t="s">
        <v>38</v>
      </c>
      <c r="J1135" s="199" t="s">
        <v>415</v>
      </c>
      <c r="K1135" s="201">
        <v>45627</v>
      </c>
      <c r="L1135" s="199" t="s">
        <v>4328</v>
      </c>
      <c r="M1135" s="199" t="s">
        <v>3320</v>
      </c>
    </row>
    <row r="1136" spans="1:13" ht="85.5">
      <c r="A1136" s="199">
        <v>1135</v>
      </c>
      <c r="B1136" s="199" t="s">
        <v>4466</v>
      </c>
      <c r="C1136" s="199" t="s">
        <v>25</v>
      </c>
      <c r="D1136" s="199" t="s">
        <v>17</v>
      </c>
      <c r="E1136" s="199">
        <v>500</v>
      </c>
      <c r="F1136" s="199" t="s">
        <v>4397</v>
      </c>
      <c r="G1136" s="199" t="s">
        <v>4398</v>
      </c>
      <c r="H1136" s="200">
        <v>16305</v>
      </c>
      <c r="I1136" s="199" t="s">
        <v>38</v>
      </c>
      <c r="J1136" s="199" t="s">
        <v>415</v>
      </c>
      <c r="K1136" s="201">
        <v>45627</v>
      </c>
      <c r="L1136" s="199" t="s">
        <v>4328</v>
      </c>
      <c r="M1136" s="199" t="s">
        <v>3320</v>
      </c>
    </row>
    <row r="1137" spans="1:13" ht="85.5">
      <c r="A1137" s="199">
        <v>1136</v>
      </c>
      <c r="B1137" s="199" t="s">
        <v>4467</v>
      </c>
      <c r="C1137" s="199" t="s">
        <v>25</v>
      </c>
      <c r="D1137" s="199" t="s">
        <v>17</v>
      </c>
      <c r="E1137" s="199">
        <v>2000</v>
      </c>
      <c r="F1137" s="199" t="s">
        <v>816</v>
      </c>
      <c r="G1137" s="199" t="s">
        <v>4398</v>
      </c>
      <c r="H1137" s="200">
        <v>2220</v>
      </c>
      <c r="I1137" s="199" t="s">
        <v>38</v>
      </c>
      <c r="J1137" s="199" t="s">
        <v>415</v>
      </c>
      <c r="K1137" s="201">
        <v>45627</v>
      </c>
      <c r="L1137" s="199" t="s">
        <v>4328</v>
      </c>
      <c r="M1137" s="199" t="s">
        <v>3320</v>
      </c>
    </row>
    <row r="1138" spans="1:13" ht="85.5">
      <c r="A1138" s="199">
        <v>1137</v>
      </c>
      <c r="B1138" s="199" t="s">
        <v>4468</v>
      </c>
      <c r="C1138" s="199" t="s">
        <v>25</v>
      </c>
      <c r="D1138" s="199" t="s">
        <v>17</v>
      </c>
      <c r="E1138" s="199">
        <v>500</v>
      </c>
      <c r="F1138" s="199" t="s">
        <v>4397</v>
      </c>
      <c r="G1138" s="199" t="s">
        <v>4398</v>
      </c>
      <c r="H1138" s="200">
        <v>10255</v>
      </c>
      <c r="I1138" s="199" t="s">
        <v>38</v>
      </c>
      <c r="J1138" s="199" t="s">
        <v>415</v>
      </c>
      <c r="K1138" s="201">
        <v>45627</v>
      </c>
      <c r="L1138" s="199" t="s">
        <v>4328</v>
      </c>
      <c r="M1138" s="199" t="s">
        <v>3320</v>
      </c>
    </row>
    <row r="1139" spans="1:13" ht="99.75">
      <c r="A1139" s="199">
        <v>1138</v>
      </c>
      <c r="B1139" s="199" t="s">
        <v>4463</v>
      </c>
      <c r="C1139" s="199" t="s">
        <v>25</v>
      </c>
      <c r="D1139" s="199" t="s">
        <v>17</v>
      </c>
      <c r="E1139" s="199">
        <v>78</v>
      </c>
      <c r="F1139" s="199" t="s">
        <v>816</v>
      </c>
      <c r="G1139" s="199" t="s">
        <v>4398</v>
      </c>
      <c r="H1139" s="200">
        <v>7540.26</v>
      </c>
      <c r="I1139" s="199" t="s">
        <v>38</v>
      </c>
      <c r="J1139" s="199" t="s">
        <v>415</v>
      </c>
      <c r="K1139" s="201">
        <v>45627</v>
      </c>
      <c r="L1139" s="199" t="s">
        <v>4328</v>
      </c>
      <c r="M1139" s="199" t="s">
        <v>3320</v>
      </c>
    </row>
    <row r="1140" spans="1:13" ht="99.75">
      <c r="A1140" s="199">
        <v>1139</v>
      </c>
      <c r="B1140" s="199" t="s">
        <v>4463</v>
      </c>
      <c r="C1140" s="199" t="s">
        <v>25</v>
      </c>
      <c r="D1140" s="199" t="s">
        <v>17</v>
      </c>
      <c r="E1140" s="199">
        <v>2</v>
      </c>
      <c r="F1140" s="199" t="s">
        <v>816</v>
      </c>
      <c r="G1140" s="199" t="s">
        <v>4398</v>
      </c>
      <c r="H1140" s="200">
        <v>223.34</v>
      </c>
      <c r="I1140" s="199" t="s">
        <v>38</v>
      </c>
      <c r="J1140" s="199" t="s">
        <v>415</v>
      </c>
      <c r="K1140" s="201">
        <v>45627</v>
      </c>
      <c r="L1140" s="199" t="s">
        <v>4328</v>
      </c>
      <c r="M1140" s="199" t="s">
        <v>3320</v>
      </c>
    </row>
    <row r="1141" spans="1:13" ht="99.75">
      <c r="A1141" s="199">
        <v>1140</v>
      </c>
      <c r="B1141" s="199" t="s">
        <v>4463</v>
      </c>
      <c r="C1141" s="199" t="s">
        <v>25</v>
      </c>
      <c r="D1141" s="199" t="s">
        <v>17</v>
      </c>
      <c r="E1141" s="199">
        <v>1</v>
      </c>
      <c r="F1141" s="199" t="s">
        <v>816</v>
      </c>
      <c r="G1141" s="199" t="s">
        <v>4398</v>
      </c>
      <c r="H1141" s="200">
        <v>115</v>
      </c>
      <c r="I1141" s="199" t="s">
        <v>38</v>
      </c>
      <c r="J1141" s="199" t="s">
        <v>415</v>
      </c>
      <c r="K1141" s="201">
        <v>45627</v>
      </c>
      <c r="L1141" s="199" t="s">
        <v>4328</v>
      </c>
      <c r="M1141" s="199" t="s">
        <v>3320</v>
      </c>
    </row>
    <row r="1142" spans="1:13" ht="99.75">
      <c r="A1142" s="199">
        <v>1141</v>
      </c>
      <c r="B1142" s="199" t="s">
        <v>4469</v>
      </c>
      <c r="C1142" s="199" t="s">
        <v>25</v>
      </c>
      <c r="D1142" s="199" t="s">
        <v>17</v>
      </c>
      <c r="E1142" s="199">
        <v>1</v>
      </c>
      <c r="F1142" s="199" t="s">
        <v>816</v>
      </c>
      <c r="G1142" s="199" t="s">
        <v>4398</v>
      </c>
      <c r="H1142" s="200">
        <v>118.75</v>
      </c>
      <c r="I1142" s="199" t="s">
        <v>38</v>
      </c>
      <c r="J1142" s="199" t="s">
        <v>415</v>
      </c>
      <c r="K1142" s="201">
        <v>45627</v>
      </c>
      <c r="L1142" s="199" t="s">
        <v>4328</v>
      </c>
      <c r="M1142" s="199" t="s">
        <v>3320</v>
      </c>
    </row>
    <row r="1143" spans="1:13" ht="99.75">
      <c r="A1143" s="199">
        <v>1142</v>
      </c>
      <c r="B1143" s="199" t="s">
        <v>4469</v>
      </c>
      <c r="C1143" s="199" t="s">
        <v>25</v>
      </c>
      <c r="D1143" s="199" t="s">
        <v>17</v>
      </c>
      <c r="E1143" s="199">
        <v>2</v>
      </c>
      <c r="F1143" s="199" t="s">
        <v>816</v>
      </c>
      <c r="G1143" s="199" t="s">
        <v>4398</v>
      </c>
      <c r="H1143" s="200">
        <v>203.34</v>
      </c>
      <c r="I1143" s="199" t="s">
        <v>38</v>
      </c>
      <c r="J1143" s="199" t="s">
        <v>415</v>
      </c>
      <c r="K1143" s="201">
        <v>45627</v>
      </c>
      <c r="L1143" s="199" t="s">
        <v>4328</v>
      </c>
      <c r="M1143" s="199" t="s">
        <v>3320</v>
      </c>
    </row>
    <row r="1144" spans="1:13" ht="99.75">
      <c r="A1144" s="199">
        <v>1143</v>
      </c>
      <c r="B1144" s="199" t="s">
        <v>4469</v>
      </c>
      <c r="C1144" s="199" t="s">
        <v>25</v>
      </c>
      <c r="D1144" s="199" t="s">
        <v>17</v>
      </c>
      <c r="E1144" s="199">
        <v>2</v>
      </c>
      <c r="F1144" s="199" t="s">
        <v>816</v>
      </c>
      <c r="G1144" s="199" t="s">
        <v>4398</v>
      </c>
      <c r="H1144" s="200">
        <v>175</v>
      </c>
      <c r="I1144" s="199" t="s">
        <v>38</v>
      </c>
      <c r="J1144" s="199" t="s">
        <v>415</v>
      </c>
      <c r="K1144" s="201">
        <v>45627</v>
      </c>
      <c r="L1144" s="199" t="s">
        <v>4328</v>
      </c>
      <c r="M1144" s="199" t="s">
        <v>3320</v>
      </c>
    </row>
    <row r="1145" spans="1:13" ht="99.75">
      <c r="A1145" s="199">
        <v>1144</v>
      </c>
      <c r="B1145" s="199" t="s">
        <v>4469</v>
      </c>
      <c r="C1145" s="199" t="s">
        <v>25</v>
      </c>
      <c r="D1145" s="199" t="s">
        <v>17</v>
      </c>
      <c r="E1145" s="199">
        <v>6</v>
      </c>
      <c r="F1145" s="199" t="s">
        <v>816</v>
      </c>
      <c r="G1145" s="199" t="s">
        <v>4398</v>
      </c>
      <c r="H1145" s="200">
        <v>577.62</v>
      </c>
      <c r="I1145" s="199" t="s">
        <v>38</v>
      </c>
      <c r="J1145" s="199" t="s">
        <v>415</v>
      </c>
      <c r="K1145" s="201">
        <v>45627</v>
      </c>
      <c r="L1145" s="199" t="s">
        <v>4328</v>
      </c>
      <c r="M1145" s="199" t="s">
        <v>3320</v>
      </c>
    </row>
    <row r="1146" spans="1:13" ht="114">
      <c r="A1146" s="199">
        <v>1145</v>
      </c>
      <c r="B1146" s="199" t="s">
        <v>4470</v>
      </c>
      <c r="C1146" s="199" t="s">
        <v>25</v>
      </c>
      <c r="D1146" s="199" t="s">
        <v>17</v>
      </c>
      <c r="E1146" s="199">
        <v>2000</v>
      </c>
      <c r="F1146" s="199" t="s">
        <v>816</v>
      </c>
      <c r="G1146" s="199" t="s">
        <v>4398</v>
      </c>
      <c r="H1146" s="200">
        <v>82480</v>
      </c>
      <c r="I1146" s="199" t="s">
        <v>38</v>
      </c>
      <c r="J1146" s="199" t="s">
        <v>415</v>
      </c>
      <c r="K1146" s="201">
        <v>45627</v>
      </c>
      <c r="L1146" s="199" t="s">
        <v>4328</v>
      </c>
      <c r="M1146" s="199" t="s">
        <v>3320</v>
      </c>
    </row>
    <row r="1147" spans="1:13" ht="99.75">
      <c r="A1147" s="199">
        <v>1146</v>
      </c>
      <c r="B1147" s="199" t="s">
        <v>4471</v>
      </c>
      <c r="C1147" s="199" t="s">
        <v>34</v>
      </c>
      <c r="D1147" s="199" t="s">
        <v>35</v>
      </c>
      <c r="E1147" s="199">
        <v>625</v>
      </c>
      <c r="F1147" s="199" t="s">
        <v>591</v>
      </c>
      <c r="G1147" s="199" t="s">
        <v>4472</v>
      </c>
      <c r="H1147" s="200">
        <v>4800</v>
      </c>
      <c r="I1147" s="199" t="s">
        <v>38</v>
      </c>
      <c r="J1147" s="199" t="s">
        <v>415</v>
      </c>
      <c r="K1147" s="201">
        <v>45413</v>
      </c>
      <c r="L1147" s="199" t="s">
        <v>3319</v>
      </c>
      <c r="M1147" s="199" t="s">
        <v>3320</v>
      </c>
    </row>
    <row r="1148" spans="1:13" ht="85.5">
      <c r="A1148" s="199">
        <v>1147</v>
      </c>
      <c r="B1148" s="199" t="s">
        <v>4473</v>
      </c>
      <c r="C1148" s="199" t="s">
        <v>34</v>
      </c>
      <c r="D1148" s="199" t="s">
        <v>35</v>
      </c>
      <c r="E1148" s="199">
        <v>6000</v>
      </c>
      <c r="F1148" s="199" t="s">
        <v>8</v>
      </c>
      <c r="G1148" s="199" t="s">
        <v>4472</v>
      </c>
      <c r="H1148" s="200">
        <v>5040</v>
      </c>
      <c r="I1148" s="199" t="s">
        <v>38</v>
      </c>
      <c r="J1148" s="199" t="s">
        <v>415</v>
      </c>
      <c r="K1148" s="201">
        <v>45413</v>
      </c>
      <c r="L1148" s="199" t="s">
        <v>3319</v>
      </c>
      <c r="M1148" s="199" t="s">
        <v>3320</v>
      </c>
    </row>
    <row r="1149" spans="1:13" ht="185.25">
      <c r="A1149" s="199">
        <v>1148</v>
      </c>
      <c r="B1149" s="199" t="s">
        <v>4474</v>
      </c>
      <c r="C1149" s="199" t="s">
        <v>34</v>
      </c>
      <c r="D1149" s="199" t="s">
        <v>35</v>
      </c>
      <c r="E1149" s="199">
        <v>250</v>
      </c>
      <c r="F1149" s="199" t="s">
        <v>2378</v>
      </c>
      <c r="G1149" s="199" t="s">
        <v>4472</v>
      </c>
      <c r="H1149" s="200">
        <v>2172.5</v>
      </c>
      <c r="I1149" s="199" t="s">
        <v>38</v>
      </c>
      <c r="J1149" s="199" t="s">
        <v>415</v>
      </c>
      <c r="K1149" s="201">
        <v>45413</v>
      </c>
      <c r="L1149" s="199" t="s">
        <v>3319</v>
      </c>
      <c r="M1149" s="199" t="s">
        <v>3320</v>
      </c>
    </row>
    <row r="1150" spans="1:13" ht="85.5">
      <c r="A1150" s="199">
        <v>1149</v>
      </c>
      <c r="B1150" s="199" t="s">
        <v>4475</v>
      </c>
      <c r="C1150" s="199" t="s">
        <v>34</v>
      </c>
      <c r="D1150" s="199" t="s">
        <v>35</v>
      </c>
      <c r="E1150" s="199">
        <v>14000</v>
      </c>
      <c r="F1150" s="199" t="s">
        <v>8</v>
      </c>
      <c r="G1150" s="199" t="s">
        <v>4472</v>
      </c>
      <c r="H1150" s="200">
        <v>2520</v>
      </c>
      <c r="I1150" s="199" t="s">
        <v>38</v>
      </c>
      <c r="J1150" s="199" t="s">
        <v>415</v>
      </c>
      <c r="K1150" s="201">
        <v>45413</v>
      </c>
      <c r="L1150" s="199" t="s">
        <v>3319</v>
      </c>
      <c r="M1150" s="199" t="s">
        <v>3320</v>
      </c>
    </row>
    <row r="1151" spans="1:13" ht="99.75">
      <c r="A1151" s="199">
        <v>1150</v>
      </c>
      <c r="B1151" s="199" t="s">
        <v>4476</v>
      </c>
      <c r="C1151" s="199" t="s">
        <v>34</v>
      </c>
      <c r="D1151" s="199" t="s">
        <v>35</v>
      </c>
      <c r="E1151" s="199">
        <v>25000</v>
      </c>
      <c r="F1151" s="199" t="s">
        <v>8</v>
      </c>
      <c r="G1151" s="199" t="s">
        <v>4472</v>
      </c>
      <c r="H1151" s="200">
        <v>5500</v>
      </c>
      <c r="I1151" s="199" t="s">
        <v>38</v>
      </c>
      <c r="J1151" s="199" t="s">
        <v>415</v>
      </c>
      <c r="K1151" s="201">
        <v>45413</v>
      </c>
      <c r="L1151" s="199" t="s">
        <v>3319</v>
      </c>
      <c r="M1151" s="199" t="s">
        <v>3320</v>
      </c>
    </row>
    <row r="1152" spans="1:13" ht="85.5">
      <c r="A1152" s="199">
        <v>1151</v>
      </c>
      <c r="B1152" s="199" t="s">
        <v>4074</v>
      </c>
      <c r="C1152" s="199" t="s">
        <v>34</v>
      </c>
      <c r="D1152" s="199" t="s">
        <v>35</v>
      </c>
      <c r="E1152" s="199">
        <v>70000</v>
      </c>
      <c r="F1152" s="199" t="s">
        <v>8</v>
      </c>
      <c r="G1152" s="199" t="s">
        <v>4472</v>
      </c>
      <c r="H1152" s="200">
        <v>11900</v>
      </c>
      <c r="I1152" s="199" t="s">
        <v>38</v>
      </c>
      <c r="J1152" s="199" t="s">
        <v>415</v>
      </c>
      <c r="K1152" s="201">
        <v>45413</v>
      </c>
      <c r="L1152" s="199" t="s">
        <v>3319</v>
      </c>
      <c r="M1152" s="199" t="s">
        <v>3320</v>
      </c>
    </row>
    <row r="1153" spans="1:13" ht="85.5">
      <c r="A1153" s="199">
        <v>1152</v>
      </c>
      <c r="B1153" s="199" t="s">
        <v>4073</v>
      </c>
      <c r="C1153" s="199" t="s">
        <v>34</v>
      </c>
      <c r="D1153" s="199" t="s">
        <v>35</v>
      </c>
      <c r="E1153" s="199">
        <v>20000</v>
      </c>
      <c r="F1153" s="199" t="s">
        <v>8</v>
      </c>
      <c r="G1153" s="199" t="s">
        <v>4472</v>
      </c>
      <c r="H1153" s="200">
        <v>3200</v>
      </c>
      <c r="I1153" s="199" t="s">
        <v>38</v>
      </c>
      <c r="J1153" s="199" t="s">
        <v>415</v>
      </c>
      <c r="K1153" s="201">
        <v>45413</v>
      </c>
      <c r="L1153" s="199" t="s">
        <v>3319</v>
      </c>
      <c r="M1153" s="199" t="s">
        <v>3320</v>
      </c>
    </row>
    <row r="1154" spans="1:13" ht="128.25">
      <c r="A1154" s="199">
        <v>1153</v>
      </c>
      <c r="B1154" s="199" t="s">
        <v>4477</v>
      </c>
      <c r="C1154" s="199" t="s">
        <v>34</v>
      </c>
      <c r="D1154" s="199" t="s">
        <v>35</v>
      </c>
      <c r="E1154" s="199">
        <v>26000</v>
      </c>
      <c r="F1154" s="199" t="s">
        <v>8</v>
      </c>
      <c r="G1154" s="199" t="s">
        <v>4472</v>
      </c>
      <c r="H1154" s="200">
        <v>3640</v>
      </c>
      <c r="I1154" s="199" t="s">
        <v>38</v>
      </c>
      <c r="J1154" s="199" t="s">
        <v>415</v>
      </c>
      <c r="K1154" s="201">
        <v>45413</v>
      </c>
      <c r="L1154" s="199" t="s">
        <v>3319</v>
      </c>
      <c r="M1154" s="199" t="s">
        <v>3320</v>
      </c>
    </row>
    <row r="1155" spans="1:13" ht="128.25">
      <c r="A1155" s="199">
        <v>1154</v>
      </c>
      <c r="B1155" s="199" t="s">
        <v>4478</v>
      </c>
      <c r="C1155" s="199" t="s">
        <v>34</v>
      </c>
      <c r="D1155" s="199" t="s">
        <v>35</v>
      </c>
      <c r="E1155" s="199">
        <v>20000</v>
      </c>
      <c r="F1155" s="199" t="s">
        <v>8</v>
      </c>
      <c r="G1155" s="199" t="s">
        <v>4472</v>
      </c>
      <c r="H1155" s="200">
        <v>3400</v>
      </c>
      <c r="I1155" s="199" t="s">
        <v>38</v>
      </c>
      <c r="J1155" s="199" t="s">
        <v>415</v>
      </c>
      <c r="K1155" s="201">
        <v>45413</v>
      </c>
      <c r="L1155" s="199" t="s">
        <v>3319</v>
      </c>
      <c r="M1155" s="199" t="s">
        <v>3320</v>
      </c>
    </row>
    <row r="1156" spans="1:13" ht="228">
      <c r="A1156" s="199">
        <v>1155</v>
      </c>
      <c r="B1156" s="199" t="s">
        <v>4479</v>
      </c>
      <c r="C1156" s="199" t="s">
        <v>34</v>
      </c>
      <c r="D1156" s="199" t="s">
        <v>35</v>
      </c>
      <c r="E1156" s="199">
        <v>200</v>
      </c>
      <c r="F1156" s="199" t="s">
        <v>679</v>
      </c>
      <c r="G1156" s="199" t="s">
        <v>4472</v>
      </c>
      <c r="H1156" s="200">
        <v>9900</v>
      </c>
      <c r="I1156" s="199" t="s">
        <v>38</v>
      </c>
      <c r="J1156" s="199" t="s">
        <v>415</v>
      </c>
      <c r="K1156" s="201">
        <v>45413</v>
      </c>
      <c r="L1156" s="199" t="s">
        <v>3319</v>
      </c>
      <c r="M1156" s="199" t="s">
        <v>3320</v>
      </c>
    </row>
    <row r="1157" spans="1:13" ht="228">
      <c r="A1157" s="199">
        <v>1156</v>
      </c>
      <c r="B1157" s="199" t="s">
        <v>4480</v>
      </c>
      <c r="C1157" s="199" t="s">
        <v>34</v>
      </c>
      <c r="D1157" s="199" t="s">
        <v>35</v>
      </c>
      <c r="E1157" s="199">
        <v>180</v>
      </c>
      <c r="F1157" s="199" t="s">
        <v>679</v>
      </c>
      <c r="G1157" s="199" t="s">
        <v>4472</v>
      </c>
      <c r="H1157" s="200">
        <v>7178.4</v>
      </c>
      <c r="I1157" s="199" t="s">
        <v>38</v>
      </c>
      <c r="J1157" s="199" t="s">
        <v>415</v>
      </c>
      <c r="K1157" s="201">
        <v>45413</v>
      </c>
      <c r="L1157" s="199" t="s">
        <v>3319</v>
      </c>
      <c r="M1157" s="199" t="s">
        <v>3320</v>
      </c>
    </row>
    <row r="1158" spans="1:13" ht="85.5">
      <c r="A1158" s="199">
        <v>1157</v>
      </c>
      <c r="B1158" s="199" t="s">
        <v>4481</v>
      </c>
      <c r="C1158" s="199" t="s">
        <v>34</v>
      </c>
      <c r="D1158" s="199" t="s">
        <v>35</v>
      </c>
      <c r="E1158" s="199">
        <v>3120</v>
      </c>
      <c r="F1158" s="199" t="s">
        <v>2378</v>
      </c>
      <c r="G1158" s="199" t="s">
        <v>4472</v>
      </c>
      <c r="H1158" s="200">
        <v>39312</v>
      </c>
      <c r="I1158" s="199" t="s">
        <v>38</v>
      </c>
      <c r="J1158" s="199" t="s">
        <v>415</v>
      </c>
      <c r="K1158" s="201">
        <v>45413</v>
      </c>
      <c r="L1158" s="199" t="s">
        <v>3319</v>
      </c>
      <c r="M1158" s="199" t="s">
        <v>3320</v>
      </c>
    </row>
    <row r="1159" spans="1:13" ht="85.5">
      <c r="A1159" s="199">
        <v>1158</v>
      </c>
      <c r="B1159" s="199" t="s">
        <v>4482</v>
      </c>
      <c r="C1159" s="199" t="s">
        <v>34</v>
      </c>
      <c r="D1159" s="199" t="s">
        <v>35</v>
      </c>
      <c r="E1159" s="199">
        <v>5300</v>
      </c>
      <c r="F1159" s="199" t="s">
        <v>2378</v>
      </c>
      <c r="G1159" s="199" t="s">
        <v>4472</v>
      </c>
      <c r="H1159" s="200">
        <v>72610</v>
      </c>
      <c r="I1159" s="199" t="s">
        <v>38</v>
      </c>
      <c r="J1159" s="199" t="s">
        <v>415</v>
      </c>
      <c r="K1159" s="201">
        <v>45413</v>
      </c>
      <c r="L1159" s="199" t="s">
        <v>3319</v>
      </c>
      <c r="M1159" s="199" t="s">
        <v>3320</v>
      </c>
    </row>
    <row r="1160" spans="1:13" ht="85.5">
      <c r="A1160" s="199">
        <v>1159</v>
      </c>
      <c r="B1160" s="199" t="s">
        <v>4483</v>
      </c>
      <c r="C1160" s="199" t="s">
        <v>34</v>
      </c>
      <c r="D1160" s="199" t="s">
        <v>35</v>
      </c>
      <c r="E1160" s="199">
        <v>300</v>
      </c>
      <c r="F1160" s="199" t="s">
        <v>2378</v>
      </c>
      <c r="G1160" s="199" t="s">
        <v>4472</v>
      </c>
      <c r="H1160" s="200">
        <v>8376</v>
      </c>
      <c r="I1160" s="199" t="s">
        <v>38</v>
      </c>
      <c r="J1160" s="199" t="s">
        <v>415</v>
      </c>
      <c r="K1160" s="201">
        <v>45413</v>
      </c>
      <c r="L1160" s="199" t="s">
        <v>3319</v>
      </c>
      <c r="M1160" s="199" t="s">
        <v>3320</v>
      </c>
    </row>
    <row r="1161" spans="1:13" ht="171">
      <c r="A1161" s="199">
        <v>1160</v>
      </c>
      <c r="B1161" s="199" t="s">
        <v>4484</v>
      </c>
      <c r="C1161" s="199" t="s">
        <v>34</v>
      </c>
      <c r="D1161" s="199" t="s">
        <v>35</v>
      </c>
      <c r="E1161" s="199">
        <v>500</v>
      </c>
      <c r="F1161" s="199" t="s">
        <v>8</v>
      </c>
      <c r="G1161" s="199" t="s">
        <v>4472</v>
      </c>
      <c r="H1161" s="200">
        <v>9525</v>
      </c>
      <c r="I1161" s="199" t="s">
        <v>38</v>
      </c>
      <c r="J1161" s="199" t="s">
        <v>415</v>
      </c>
      <c r="K1161" s="201">
        <v>45413</v>
      </c>
      <c r="L1161" s="199" t="s">
        <v>3319</v>
      </c>
      <c r="M1161" s="199" t="s">
        <v>3320</v>
      </c>
    </row>
    <row r="1162" spans="1:13" ht="85.5">
      <c r="A1162" s="199">
        <v>1161</v>
      </c>
      <c r="B1162" s="199" t="s">
        <v>4485</v>
      </c>
      <c r="C1162" s="199" t="s">
        <v>34</v>
      </c>
      <c r="D1162" s="199" t="s">
        <v>35</v>
      </c>
      <c r="E1162" s="199">
        <v>100</v>
      </c>
      <c r="F1162" s="199" t="s">
        <v>8</v>
      </c>
      <c r="G1162" s="199" t="s">
        <v>4472</v>
      </c>
      <c r="H1162" s="200">
        <v>356</v>
      </c>
      <c r="I1162" s="199" t="s">
        <v>38</v>
      </c>
      <c r="J1162" s="199" t="s">
        <v>415</v>
      </c>
      <c r="K1162" s="201">
        <v>45413</v>
      </c>
      <c r="L1162" s="199" t="s">
        <v>3319</v>
      </c>
      <c r="M1162" s="199" t="s">
        <v>3320</v>
      </c>
    </row>
    <row r="1163" spans="1:13" ht="85.5">
      <c r="A1163" s="199">
        <v>1162</v>
      </c>
      <c r="B1163" s="199" t="s">
        <v>4486</v>
      </c>
      <c r="C1163" s="199" t="s">
        <v>34</v>
      </c>
      <c r="D1163" s="199" t="s">
        <v>35</v>
      </c>
      <c r="E1163" s="199">
        <v>200</v>
      </c>
      <c r="F1163" s="199" t="s">
        <v>8</v>
      </c>
      <c r="G1163" s="199" t="s">
        <v>4472</v>
      </c>
      <c r="H1163" s="200">
        <v>724</v>
      </c>
      <c r="I1163" s="199" t="s">
        <v>38</v>
      </c>
      <c r="J1163" s="199" t="s">
        <v>415</v>
      </c>
      <c r="K1163" s="201">
        <v>45413</v>
      </c>
      <c r="L1163" s="199" t="s">
        <v>3319</v>
      </c>
      <c r="M1163" s="199" t="s">
        <v>3320</v>
      </c>
    </row>
    <row r="1164" spans="1:13" ht="85.5">
      <c r="A1164" s="199">
        <v>1163</v>
      </c>
      <c r="B1164" s="199" t="s">
        <v>4487</v>
      </c>
      <c r="C1164" s="199" t="s">
        <v>34</v>
      </c>
      <c r="D1164" s="199" t="s">
        <v>35</v>
      </c>
      <c r="E1164" s="199">
        <v>200</v>
      </c>
      <c r="F1164" s="199" t="s">
        <v>8</v>
      </c>
      <c r="G1164" s="199" t="s">
        <v>4472</v>
      </c>
      <c r="H1164" s="200">
        <v>1014</v>
      </c>
      <c r="I1164" s="199" t="s">
        <v>38</v>
      </c>
      <c r="J1164" s="199" t="s">
        <v>415</v>
      </c>
      <c r="K1164" s="201">
        <v>45413</v>
      </c>
      <c r="L1164" s="199" t="s">
        <v>3319</v>
      </c>
      <c r="M1164" s="199" t="s">
        <v>3320</v>
      </c>
    </row>
    <row r="1165" spans="1:13" ht="85.5">
      <c r="A1165" s="199">
        <v>1164</v>
      </c>
      <c r="B1165" s="199" t="s">
        <v>4488</v>
      </c>
      <c r="C1165" s="199" t="s">
        <v>34</v>
      </c>
      <c r="D1165" s="199" t="s">
        <v>35</v>
      </c>
      <c r="E1165" s="199">
        <v>200</v>
      </c>
      <c r="F1165" s="199" t="s">
        <v>8</v>
      </c>
      <c r="G1165" s="199" t="s">
        <v>4472</v>
      </c>
      <c r="H1165" s="200">
        <v>942</v>
      </c>
      <c r="I1165" s="199" t="s">
        <v>38</v>
      </c>
      <c r="J1165" s="199" t="s">
        <v>415</v>
      </c>
      <c r="K1165" s="201">
        <v>45413</v>
      </c>
      <c r="L1165" s="199" t="s">
        <v>3319</v>
      </c>
      <c r="M1165" s="199" t="s">
        <v>3320</v>
      </c>
    </row>
    <row r="1166" spans="1:13" ht="85.5">
      <c r="A1166" s="199">
        <v>1165</v>
      </c>
      <c r="B1166" s="199" t="s">
        <v>4489</v>
      </c>
      <c r="C1166" s="199" t="s">
        <v>34</v>
      </c>
      <c r="D1166" s="199" t="s">
        <v>35</v>
      </c>
      <c r="E1166" s="199">
        <v>25000</v>
      </c>
      <c r="F1166" s="199" t="s">
        <v>8</v>
      </c>
      <c r="G1166" s="199" t="s">
        <v>4472</v>
      </c>
      <c r="H1166" s="200">
        <v>25500</v>
      </c>
      <c r="I1166" s="199" t="s">
        <v>38</v>
      </c>
      <c r="J1166" s="199" t="s">
        <v>415</v>
      </c>
      <c r="K1166" s="201">
        <v>45413</v>
      </c>
      <c r="L1166" s="199" t="s">
        <v>3319</v>
      </c>
      <c r="M1166" s="199" t="s">
        <v>3320</v>
      </c>
    </row>
    <row r="1167" spans="1:13" ht="85.5">
      <c r="A1167" s="199">
        <v>1166</v>
      </c>
      <c r="B1167" s="199" t="s">
        <v>4490</v>
      </c>
      <c r="C1167" s="199" t="s">
        <v>34</v>
      </c>
      <c r="D1167" s="199" t="s">
        <v>35</v>
      </c>
      <c r="E1167" s="199">
        <v>25000</v>
      </c>
      <c r="F1167" s="199" t="s">
        <v>8</v>
      </c>
      <c r="G1167" s="199" t="s">
        <v>4472</v>
      </c>
      <c r="H1167" s="200">
        <v>31500</v>
      </c>
      <c r="I1167" s="199" t="s">
        <v>38</v>
      </c>
      <c r="J1167" s="199" t="s">
        <v>415</v>
      </c>
      <c r="K1167" s="201">
        <v>45413</v>
      </c>
      <c r="L1167" s="199" t="s">
        <v>3319</v>
      </c>
      <c r="M1167" s="199" t="s">
        <v>3320</v>
      </c>
    </row>
    <row r="1168" spans="1:13" ht="85.5">
      <c r="A1168" s="199">
        <v>1167</v>
      </c>
      <c r="B1168" s="199" t="s">
        <v>4491</v>
      </c>
      <c r="C1168" s="199" t="s">
        <v>34</v>
      </c>
      <c r="D1168" s="199" t="s">
        <v>35</v>
      </c>
      <c r="E1168" s="199">
        <v>25000</v>
      </c>
      <c r="F1168" s="199" t="s">
        <v>8</v>
      </c>
      <c r="G1168" s="199" t="s">
        <v>4472</v>
      </c>
      <c r="H1168" s="200">
        <v>36000</v>
      </c>
      <c r="I1168" s="199" t="s">
        <v>38</v>
      </c>
      <c r="J1168" s="199" t="s">
        <v>415</v>
      </c>
      <c r="K1168" s="201">
        <v>45413</v>
      </c>
      <c r="L1168" s="199" t="s">
        <v>3319</v>
      </c>
      <c r="M1168" s="199" t="s">
        <v>3320</v>
      </c>
    </row>
    <row r="1169" spans="1:13" ht="85.5">
      <c r="A1169" s="199">
        <v>1168</v>
      </c>
      <c r="B1169" s="199" t="s">
        <v>4492</v>
      </c>
      <c r="C1169" s="199" t="s">
        <v>34</v>
      </c>
      <c r="D1169" s="199" t="s">
        <v>35</v>
      </c>
      <c r="E1169" s="199">
        <v>25000</v>
      </c>
      <c r="F1169" s="199" t="s">
        <v>8</v>
      </c>
      <c r="G1169" s="199" t="s">
        <v>4472</v>
      </c>
      <c r="H1169" s="200">
        <v>49000</v>
      </c>
      <c r="I1169" s="199" t="s">
        <v>38</v>
      </c>
      <c r="J1169" s="199" t="s">
        <v>415</v>
      </c>
      <c r="K1169" s="201">
        <v>45413</v>
      </c>
      <c r="L1169" s="199" t="s">
        <v>3319</v>
      </c>
      <c r="M1169" s="199" t="s">
        <v>3320</v>
      </c>
    </row>
    <row r="1170" spans="1:13" ht="85.5">
      <c r="A1170" s="199">
        <v>1169</v>
      </c>
      <c r="B1170" s="199" t="s">
        <v>4493</v>
      </c>
      <c r="C1170" s="199" t="s">
        <v>34</v>
      </c>
      <c r="D1170" s="199" t="s">
        <v>35</v>
      </c>
      <c r="E1170" s="199">
        <v>14000</v>
      </c>
      <c r="F1170" s="199" t="s">
        <v>8</v>
      </c>
      <c r="G1170" s="199" t="s">
        <v>4472</v>
      </c>
      <c r="H1170" s="200">
        <v>58380</v>
      </c>
      <c r="I1170" s="199" t="s">
        <v>38</v>
      </c>
      <c r="J1170" s="199" t="s">
        <v>415</v>
      </c>
      <c r="K1170" s="201">
        <v>45413</v>
      </c>
      <c r="L1170" s="199" t="s">
        <v>3319</v>
      </c>
      <c r="M1170" s="199" t="s">
        <v>3320</v>
      </c>
    </row>
    <row r="1171" spans="1:13" ht="85.5">
      <c r="A1171" s="199">
        <v>1170</v>
      </c>
      <c r="B1171" s="199" t="s">
        <v>4494</v>
      </c>
      <c r="C1171" s="199" t="s">
        <v>34</v>
      </c>
      <c r="D1171" s="199" t="s">
        <v>35</v>
      </c>
      <c r="E1171" s="199">
        <v>8000</v>
      </c>
      <c r="F1171" s="199" t="s">
        <v>8</v>
      </c>
      <c r="G1171" s="199" t="s">
        <v>4472</v>
      </c>
      <c r="H1171" s="200">
        <v>33600</v>
      </c>
      <c r="I1171" s="199" t="s">
        <v>38</v>
      </c>
      <c r="J1171" s="199" t="s">
        <v>415</v>
      </c>
      <c r="K1171" s="201">
        <v>45413</v>
      </c>
      <c r="L1171" s="199" t="s">
        <v>3319</v>
      </c>
      <c r="M1171" s="199" t="s">
        <v>3320</v>
      </c>
    </row>
    <row r="1172" spans="1:13" ht="128.25">
      <c r="A1172" s="199">
        <v>1171</v>
      </c>
      <c r="B1172" s="199" t="s">
        <v>4495</v>
      </c>
      <c r="C1172" s="199" t="s">
        <v>34</v>
      </c>
      <c r="D1172" s="199" t="s">
        <v>35</v>
      </c>
      <c r="E1172" s="199">
        <v>6000</v>
      </c>
      <c r="F1172" s="199" t="s">
        <v>8</v>
      </c>
      <c r="G1172" s="199" t="s">
        <v>4472</v>
      </c>
      <c r="H1172" s="200">
        <v>6780</v>
      </c>
      <c r="I1172" s="199" t="s">
        <v>38</v>
      </c>
      <c r="J1172" s="199" t="s">
        <v>415</v>
      </c>
      <c r="K1172" s="201">
        <v>45413</v>
      </c>
      <c r="L1172" s="199" t="s">
        <v>3319</v>
      </c>
      <c r="M1172" s="199" t="s">
        <v>3320</v>
      </c>
    </row>
    <row r="1173" spans="1:13" ht="99.75">
      <c r="A1173" s="199">
        <v>1172</v>
      </c>
      <c r="B1173" s="199" t="s">
        <v>4496</v>
      </c>
      <c r="C1173" s="199" t="s">
        <v>34</v>
      </c>
      <c r="D1173" s="199" t="s">
        <v>35</v>
      </c>
      <c r="E1173" s="199">
        <v>500</v>
      </c>
      <c r="F1173" s="199" t="s">
        <v>8</v>
      </c>
      <c r="G1173" s="199" t="s">
        <v>4472</v>
      </c>
      <c r="H1173" s="200">
        <v>3530</v>
      </c>
      <c r="I1173" s="199" t="s">
        <v>38</v>
      </c>
      <c r="J1173" s="199" t="s">
        <v>415</v>
      </c>
      <c r="K1173" s="201">
        <v>45413</v>
      </c>
      <c r="L1173" s="199" t="s">
        <v>3319</v>
      </c>
      <c r="M1173" s="199" t="s">
        <v>3320</v>
      </c>
    </row>
    <row r="1174" spans="1:13" ht="99.75">
      <c r="A1174" s="199">
        <v>1173</v>
      </c>
      <c r="B1174" s="199" t="s">
        <v>4497</v>
      </c>
      <c r="C1174" s="199" t="s">
        <v>34</v>
      </c>
      <c r="D1174" s="199" t="s">
        <v>35</v>
      </c>
      <c r="E1174" s="199">
        <v>300</v>
      </c>
      <c r="F1174" s="199" t="s">
        <v>8</v>
      </c>
      <c r="G1174" s="199" t="s">
        <v>4472</v>
      </c>
      <c r="H1174" s="200">
        <v>4419</v>
      </c>
      <c r="I1174" s="199" t="s">
        <v>38</v>
      </c>
      <c r="J1174" s="199" t="s">
        <v>415</v>
      </c>
      <c r="K1174" s="201">
        <v>45413</v>
      </c>
      <c r="L1174" s="199" t="s">
        <v>3319</v>
      </c>
      <c r="M1174" s="199" t="s">
        <v>3320</v>
      </c>
    </row>
    <row r="1175" spans="1:13" ht="85.5">
      <c r="A1175" s="199">
        <v>1174</v>
      </c>
      <c r="B1175" s="199" t="s">
        <v>4498</v>
      </c>
      <c r="C1175" s="199" t="s">
        <v>34</v>
      </c>
      <c r="D1175" s="199" t="s">
        <v>35</v>
      </c>
      <c r="E1175" s="199">
        <v>2000</v>
      </c>
      <c r="F1175" s="199" t="s">
        <v>8</v>
      </c>
      <c r="G1175" s="199" t="s">
        <v>4472</v>
      </c>
      <c r="H1175" s="200">
        <v>94560</v>
      </c>
      <c r="I1175" s="199" t="s">
        <v>38</v>
      </c>
      <c r="J1175" s="199" t="s">
        <v>415</v>
      </c>
      <c r="K1175" s="201">
        <v>45413</v>
      </c>
      <c r="L1175" s="199" t="s">
        <v>3319</v>
      </c>
      <c r="M1175" s="199" t="s">
        <v>3320</v>
      </c>
    </row>
    <row r="1176" spans="1:13" ht="99.75">
      <c r="A1176" s="199">
        <v>1175</v>
      </c>
      <c r="B1176" s="199" t="s">
        <v>4499</v>
      </c>
      <c r="C1176" s="199" t="s">
        <v>34</v>
      </c>
      <c r="D1176" s="199" t="s">
        <v>35</v>
      </c>
      <c r="E1176" s="199">
        <v>2000</v>
      </c>
      <c r="F1176" s="199" t="s">
        <v>8</v>
      </c>
      <c r="G1176" s="199" t="s">
        <v>4472</v>
      </c>
      <c r="H1176" s="200">
        <v>93680</v>
      </c>
      <c r="I1176" s="199" t="s">
        <v>38</v>
      </c>
      <c r="J1176" s="199" t="s">
        <v>415</v>
      </c>
      <c r="K1176" s="201">
        <v>45413</v>
      </c>
      <c r="L1176" s="199" t="s">
        <v>3319</v>
      </c>
      <c r="M1176" s="199" t="s">
        <v>3320</v>
      </c>
    </row>
    <row r="1177" spans="1:13" ht="85.5">
      <c r="A1177" s="199">
        <v>1176</v>
      </c>
      <c r="B1177" s="199" t="s">
        <v>4500</v>
      </c>
      <c r="C1177" s="199" t="s">
        <v>34</v>
      </c>
      <c r="D1177" s="199" t="s">
        <v>35</v>
      </c>
      <c r="E1177" s="199">
        <v>1500</v>
      </c>
      <c r="F1177" s="199" t="s">
        <v>8</v>
      </c>
      <c r="G1177" s="199" t="s">
        <v>4472</v>
      </c>
      <c r="H1177" s="200">
        <v>160860</v>
      </c>
      <c r="I1177" s="199" t="s">
        <v>38</v>
      </c>
      <c r="J1177" s="199" t="s">
        <v>415</v>
      </c>
      <c r="K1177" s="201">
        <v>45413</v>
      </c>
      <c r="L1177" s="199" t="s">
        <v>3319</v>
      </c>
      <c r="M1177" s="199" t="s">
        <v>3320</v>
      </c>
    </row>
    <row r="1178" spans="1:13" ht="99.75">
      <c r="A1178" s="199">
        <v>1177</v>
      </c>
      <c r="B1178" s="199" t="s">
        <v>4501</v>
      </c>
      <c r="C1178" s="199" t="s">
        <v>34</v>
      </c>
      <c r="D1178" s="199" t="s">
        <v>35</v>
      </c>
      <c r="E1178" s="199">
        <v>1800</v>
      </c>
      <c r="F1178" s="199" t="s">
        <v>8</v>
      </c>
      <c r="G1178" s="199" t="s">
        <v>4472</v>
      </c>
      <c r="H1178" s="200">
        <v>16776</v>
      </c>
      <c r="I1178" s="199" t="s">
        <v>38</v>
      </c>
      <c r="J1178" s="199" t="s">
        <v>415</v>
      </c>
      <c r="K1178" s="201">
        <v>45413</v>
      </c>
      <c r="L1178" s="199" t="s">
        <v>3319</v>
      </c>
      <c r="M1178" s="199" t="s">
        <v>3320</v>
      </c>
    </row>
    <row r="1179" spans="1:13" ht="99.75">
      <c r="A1179" s="199">
        <v>1178</v>
      </c>
      <c r="B1179" s="199" t="s">
        <v>4502</v>
      </c>
      <c r="C1179" s="199" t="s">
        <v>34</v>
      </c>
      <c r="D1179" s="199" t="s">
        <v>35</v>
      </c>
      <c r="E1179" s="199">
        <v>600</v>
      </c>
      <c r="F1179" s="199" t="s">
        <v>8</v>
      </c>
      <c r="G1179" s="199" t="s">
        <v>4472</v>
      </c>
      <c r="H1179" s="200">
        <v>3024</v>
      </c>
      <c r="I1179" s="199" t="s">
        <v>38</v>
      </c>
      <c r="J1179" s="199" t="s">
        <v>415</v>
      </c>
      <c r="K1179" s="201">
        <v>45413</v>
      </c>
      <c r="L1179" s="199" t="s">
        <v>3319</v>
      </c>
      <c r="M1179" s="199" t="s">
        <v>3320</v>
      </c>
    </row>
    <row r="1180" spans="1:13" ht="99.75">
      <c r="A1180" s="199">
        <v>1179</v>
      </c>
      <c r="B1180" s="199" t="s">
        <v>4503</v>
      </c>
      <c r="C1180" s="199" t="s">
        <v>34</v>
      </c>
      <c r="D1180" s="199" t="s">
        <v>35</v>
      </c>
      <c r="E1180" s="199">
        <v>1000</v>
      </c>
      <c r="F1180" s="199" t="s">
        <v>8</v>
      </c>
      <c r="G1180" s="199" t="s">
        <v>4472</v>
      </c>
      <c r="H1180" s="200">
        <v>15300</v>
      </c>
      <c r="I1180" s="199" t="s">
        <v>38</v>
      </c>
      <c r="J1180" s="199" t="s">
        <v>415</v>
      </c>
      <c r="K1180" s="201">
        <v>45413</v>
      </c>
      <c r="L1180" s="199" t="s">
        <v>3319</v>
      </c>
      <c r="M1180" s="199" t="s">
        <v>3320</v>
      </c>
    </row>
    <row r="1181" spans="1:13" ht="128.25">
      <c r="A1181" s="199">
        <v>1180</v>
      </c>
      <c r="B1181" s="199" t="s">
        <v>4504</v>
      </c>
      <c r="C1181" s="199" t="s">
        <v>34</v>
      </c>
      <c r="D1181" s="199" t="s">
        <v>35</v>
      </c>
      <c r="E1181" s="199">
        <v>1000</v>
      </c>
      <c r="F1181" s="199" t="s">
        <v>679</v>
      </c>
      <c r="G1181" s="199" t="s">
        <v>4472</v>
      </c>
      <c r="H1181" s="200">
        <v>7720</v>
      </c>
      <c r="I1181" s="199" t="s">
        <v>38</v>
      </c>
      <c r="J1181" s="199" t="s">
        <v>415</v>
      </c>
      <c r="K1181" s="201">
        <v>45413</v>
      </c>
      <c r="L1181" s="199" t="s">
        <v>3319</v>
      </c>
      <c r="M1181" s="199" t="s">
        <v>3320</v>
      </c>
    </row>
    <row r="1182" spans="1:13" ht="85.5">
      <c r="A1182" s="199">
        <v>1181</v>
      </c>
      <c r="B1182" s="199" t="s">
        <v>4505</v>
      </c>
      <c r="C1182" s="199" t="s">
        <v>34</v>
      </c>
      <c r="D1182" s="199" t="s">
        <v>35</v>
      </c>
      <c r="E1182" s="199">
        <v>1000</v>
      </c>
      <c r="F1182" s="199" t="s">
        <v>8</v>
      </c>
      <c r="G1182" s="199" t="s">
        <v>4472</v>
      </c>
      <c r="H1182" s="200">
        <v>4590</v>
      </c>
      <c r="I1182" s="199" t="s">
        <v>38</v>
      </c>
      <c r="J1182" s="199" t="s">
        <v>415</v>
      </c>
      <c r="K1182" s="201">
        <v>45413</v>
      </c>
      <c r="L1182" s="199" t="s">
        <v>3319</v>
      </c>
      <c r="M1182" s="199" t="s">
        <v>3320</v>
      </c>
    </row>
    <row r="1183" spans="1:13" ht="85.5">
      <c r="A1183" s="199">
        <v>1182</v>
      </c>
      <c r="B1183" s="199" t="s">
        <v>4506</v>
      </c>
      <c r="C1183" s="199" t="s">
        <v>34</v>
      </c>
      <c r="D1183" s="199" t="s">
        <v>35</v>
      </c>
      <c r="E1183" s="199">
        <v>1000</v>
      </c>
      <c r="F1183" s="199" t="s">
        <v>8</v>
      </c>
      <c r="G1183" s="199" t="s">
        <v>4472</v>
      </c>
      <c r="H1183" s="200">
        <v>3120</v>
      </c>
      <c r="I1183" s="199" t="s">
        <v>38</v>
      </c>
      <c r="J1183" s="199" t="s">
        <v>415</v>
      </c>
      <c r="K1183" s="201">
        <v>45413</v>
      </c>
      <c r="L1183" s="199" t="s">
        <v>3319</v>
      </c>
      <c r="M1183" s="199" t="s">
        <v>3320</v>
      </c>
    </row>
    <row r="1184" spans="1:13" ht="85.5">
      <c r="A1184" s="199">
        <v>1183</v>
      </c>
      <c r="B1184" s="199" t="s">
        <v>4507</v>
      </c>
      <c r="C1184" s="199" t="s">
        <v>34</v>
      </c>
      <c r="D1184" s="199" t="s">
        <v>35</v>
      </c>
      <c r="E1184" s="199">
        <v>1000</v>
      </c>
      <c r="F1184" s="199" t="s">
        <v>8</v>
      </c>
      <c r="G1184" s="199" t="s">
        <v>4472</v>
      </c>
      <c r="H1184" s="200">
        <v>2070</v>
      </c>
      <c r="I1184" s="199" t="s">
        <v>38</v>
      </c>
      <c r="J1184" s="199" t="s">
        <v>415</v>
      </c>
      <c r="K1184" s="201">
        <v>45413</v>
      </c>
      <c r="L1184" s="199" t="s">
        <v>3319</v>
      </c>
      <c r="M1184" s="199" t="s">
        <v>3320</v>
      </c>
    </row>
    <row r="1185" spans="1:13" ht="85.5">
      <c r="A1185" s="199">
        <v>1184</v>
      </c>
      <c r="B1185" s="199" t="s">
        <v>4508</v>
      </c>
      <c r="C1185" s="199" t="s">
        <v>34</v>
      </c>
      <c r="D1185" s="199" t="s">
        <v>35</v>
      </c>
      <c r="E1185" s="199">
        <v>1000</v>
      </c>
      <c r="F1185" s="199" t="s">
        <v>8</v>
      </c>
      <c r="G1185" s="199" t="s">
        <v>4472</v>
      </c>
      <c r="H1185" s="200">
        <v>2610</v>
      </c>
      <c r="I1185" s="199" t="s">
        <v>38</v>
      </c>
      <c r="J1185" s="199" t="s">
        <v>415</v>
      </c>
      <c r="K1185" s="201">
        <v>45413</v>
      </c>
      <c r="L1185" s="199" t="s">
        <v>3319</v>
      </c>
      <c r="M1185" s="199" t="s">
        <v>3320</v>
      </c>
    </row>
    <row r="1186" spans="1:13" ht="85.5">
      <c r="A1186" s="199">
        <v>1185</v>
      </c>
      <c r="B1186" s="199" t="s">
        <v>4077</v>
      </c>
      <c r="C1186" s="199" t="s">
        <v>34</v>
      </c>
      <c r="D1186" s="199" t="s">
        <v>35</v>
      </c>
      <c r="E1186" s="199">
        <v>1000</v>
      </c>
      <c r="F1186" s="199" t="s">
        <v>8</v>
      </c>
      <c r="G1186" s="199" t="s">
        <v>4472</v>
      </c>
      <c r="H1186" s="200">
        <v>2880</v>
      </c>
      <c r="I1186" s="199" t="s">
        <v>38</v>
      </c>
      <c r="J1186" s="199" t="s">
        <v>415</v>
      </c>
      <c r="K1186" s="201">
        <v>45413</v>
      </c>
      <c r="L1186" s="199" t="s">
        <v>3319</v>
      </c>
      <c r="M1186" s="199" t="s">
        <v>3320</v>
      </c>
    </row>
    <row r="1187" spans="1:13" ht="85.5">
      <c r="A1187" s="199">
        <v>1186</v>
      </c>
      <c r="B1187" s="199" t="s">
        <v>4076</v>
      </c>
      <c r="C1187" s="199" t="s">
        <v>34</v>
      </c>
      <c r="D1187" s="199" t="s">
        <v>35</v>
      </c>
      <c r="E1187" s="199">
        <v>1000</v>
      </c>
      <c r="F1187" s="199" t="s">
        <v>8</v>
      </c>
      <c r="G1187" s="199" t="s">
        <v>4472</v>
      </c>
      <c r="H1187" s="200">
        <v>2960</v>
      </c>
      <c r="I1187" s="199" t="s">
        <v>38</v>
      </c>
      <c r="J1187" s="199" t="s">
        <v>415</v>
      </c>
      <c r="K1187" s="201">
        <v>45413</v>
      </c>
      <c r="L1187" s="199" t="s">
        <v>3319</v>
      </c>
      <c r="M1187" s="199" t="s">
        <v>3320</v>
      </c>
    </row>
    <row r="1188" spans="1:13" ht="99.75">
      <c r="A1188" s="199">
        <v>1187</v>
      </c>
      <c r="B1188" s="199" t="s">
        <v>4509</v>
      </c>
      <c r="C1188" s="199" t="s">
        <v>34</v>
      </c>
      <c r="D1188" s="199" t="s">
        <v>35</v>
      </c>
      <c r="E1188" s="199">
        <v>500</v>
      </c>
      <c r="F1188" s="199" t="s">
        <v>8</v>
      </c>
      <c r="G1188" s="199" t="s">
        <v>4472</v>
      </c>
      <c r="H1188" s="200">
        <v>1010</v>
      </c>
      <c r="I1188" s="199" t="s">
        <v>38</v>
      </c>
      <c r="J1188" s="199" t="s">
        <v>415</v>
      </c>
      <c r="K1188" s="201">
        <v>45413</v>
      </c>
      <c r="L1188" s="199" t="s">
        <v>3319</v>
      </c>
      <c r="M1188" s="199" t="s">
        <v>3320</v>
      </c>
    </row>
    <row r="1189" spans="1:13" ht="99.75">
      <c r="A1189" s="199">
        <v>1188</v>
      </c>
      <c r="B1189" s="199" t="s">
        <v>4510</v>
      </c>
      <c r="C1189" s="199" t="s">
        <v>34</v>
      </c>
      <c r="D1189" s="199" t="s">
        <v>35</v>
      </c>
      <c r="E1189" s="199">
        <v>300</v>
      </c>
      <c r="F1189" s="199" t="s">
        <v>8</v>
      </c>
      <c r="G1189" s="199" t="s">
        <v>4472</v>
      </c>
      <c r="H1189" s="200">
        <v>615</v>
      </c>
      <c r="I1189" s="199" t="s">
        <v>38</v>
      </c>
      <c r="J1189" s="199" t="s">
        <v>415</v>
      </c>
      <c r="K1189" s="201">
        <v>45413</v>
      </c>
      <c r="L1189" s="199" t="s">
        <v>3319</v>
      </c>
      <c r="M1189" s="199" t="s">
        <v>3320</v>
      </c>
    </row>
    <row r="1190" spans="1:13" ht="85.5">
      <c r="A1190" s="199">
        <v>1189</v>
      </c>
      <c r="B1190" s="199" t="s">
        <v>4511</v>
      </c>
      <c r="C1190" s="199" t="s">
        <v>34</v>
      </c>
      <c r="D1190" s="199" t="s">
        <v>35</v>
      </c>
      <c r="E1190" s="199">
        <v>3000</v>
      </c>
      <c r="F1190" s="199" t="s">
        <v>8</v>
      </c>
      <c r="G1190" s="199" t="s">
        <v>4472</v>
      </c>
      <c r="H1190" s="200">
        <v>2310</v>
      </c>
      <c r="I1190" s="199" t="s">
        <v>38</v>
      </c>
      <c r="J1190" s="199" t="s">
        <v>415</v>
      </c>
      <c r="K1190" s="201">
        <v>45413</v>
      </c>
      <c r="L1190" s="199" t="s">
        <v>3319</v>
      </c>
      <c r="M1190" s="199" t="s">
        <v>3320</v>
      </c>
    </row>
    <row r="1191" spans="1:13" ht="114">
      <c r="A1191" s="199">
        <v>1190</v>
      </c>
      <c r="B1191" s="199" t="s">
        <v>4512</v>
      </c>
      <c r="C1191" s="199" t="s">
        <v>34</v>
      </c>
      <c r="D1191" s="199" t="s">
        <v>35</v>
      </c>
      <c r="E1191" s="199">
        <v>5000</v>
      </c>
      <c r="F1191" s="199" t="s">
        <v>8</v>
      </c>
      <c r="G1191" s="199" t="s">
        <v>4472</v>
      </c>
      <c r="H1191" s="200">
        <v>26850</v>
      </c>
      <c r="I1191" s="199" t="s">
        <v>38</v>
      </c>
      <c r="J1191" s="199" t="s">
        <v>415</v>
      </c>
      <c r="K1191" s="201">
        <v>45413</v>
      </c>
      <c r="L1191" s="199" t="s">
        <v>3319</v>
      </c>
      <c r="M1191" s="199" t="s">
        <v>3320</v>
      </c>
    </row>
    <row r="1192" spans="1:13" ht="114">
      <c r="A1192" s="199">
        <v>1191</v>
      </c>
      <c r="B1192" s="199" t="s">
        <v>4513</v>
      </c>
      <c r="C1192" s="199" t="s">
        <v>34</v>
      </c>
      <c r="D1192" s="199" t="s">
        <v>35</v>
      </c>
      <c r="E1192" s="199">
        <v>5000</v>
      </c>
      <c r="F1192" s="199" t="s">
        <v>8</v>
      </c>
      <c r="G1192" s="199" t="s">
        <v>4472</v>
      </c>
      <c r="H1192" s="200">
        <v>28950</v>
      </c>
      <c r="I1192" s="199" t="s">
        <v>38</v>
      </c>
      <c r="J1192" s="199" t="s">
        <v>415</v>
      </c>
      <c r="K1192" s="201">
        <v>45413</v>
      </c>
      <c r="L1192" s="199" t="s">
        <v>3319</v>
      </c>
      <c r="M1192" s="199" t="s">
        <v>3320</v>
      </c>
    </row>
    <row r="1193" spans="1:13" ht="114">
      <c r="A1193" s="199">
        <v>1192</v>
      </c>
      <c r="B1193" s="199" t="s">
        <v>4514</v>
      </c>
      <c r="C1193" s="199" t="s">
        <v>34</v>
      </c>
      <c r="D1193" s="199" t="s">
        <v>35</v>
      </c>
      <c r="E1193" s="199">
        <v>210000</v>
      </c>
      <c r="F1193" s="199" t="s">
        <v>8</v>
      </c>
      <c r="G1193" s="199" t="s">
        <v>4472</v>
      </c>
      <c r="H1193" s="200">
        <v>178290</v>
      </c>
      <c r="I1193" s="199" t="s">
        <v>38</v>
      </c>
      <c r="J1193" s="199" t="s">
        <v>415</v>
      </c>
      <c r="K1193" s="201">
        <v>45413</v>
      </c>
      <c r="L1193" s="199" t="s">
        <v>3319</v>
      </c>
      <c r="M1193" s="199" t="s">
        <v>3320</v>
      </c>
    </row>
    <row r="1194" spans="1:13" ht="85.5">
      <c r="A1194" s="199">
        <v>1193</v>
      </c>
      <c r="B1194" s="199" t="s">
        <v>4515</v>
      </c>
      <c r="C1194" s="199" t="s">
        <v>34</v>
      </c>
      <c r="D1194" s="199" t="s">
        <v>35</v>
      </c>
      <c r="E1194" s="199">
        <v>200</v>
      </c>
      <c r="F1194" s="199" t="s">
        <v>8</v>
      </c>
      <c r="G1194" s="199" t="s">
        <v>4472</v>
      </c>
      <c r="H1194" s="200">
        <v>732</v>
      </c>
      <c r="I1194" s="199" t="s">
        <v>38</v>
      </c>
      <c r="J1194" s="199" t="s">
        <v>415</v>
      </c>
      <c r="K1194" s="201">
        <v>45413</v>
      </c>
      <c r="L1194" s="199" t="s">
        <v>3319</v>
      </c>
      <c r="M1194" s="199" t="s">
        <v>3320</v>
      </c>
    </row>
    <row r="1195" spans="1:13" ht="85.5">
      <c r="A1195" s="199">
        <v>1194</v>
      </c>
      <c r="B1195" s="199" t="s">
        <v>4516</v>
      </c>
      <c r="C1195" s="199" t="s">
        <v>34</v>
      </c>
      <c r="D1195" s="199" t="s">
        <v>35</v>
      </c>
      <c r="E1195" s="199">
        <v>250</v>
      </c>
      <c r="F1195" s="199" t="s">
        <v>8</v>
      </c>
      <c r="G1195" s="199" t="s">
        <v>4472</v>
      </c>
      <c r="H1195" s="200">
        <v>4175</v>
      </c>
      <c r="I1195" s="199" t="s">
        <v>38</v>
      </c>
      <c r="J1195" s="199" t="s">
        <v>415</v>
      </c>
      <c r="K1195" s="201">
        <v>45413</v>
      </c>
      <c r="L1195" s="199" t="s">
        <v>3319</v>
      </c>
      <c r="M1195" s="199" t="s">
        <v>3320</v>
      </c>
    </row>
    <row r="1196" spans="1:13" ht="142.5">
      <c r="A1196" s="199">
        <v>1195</v>
      </c>
      <c r="B1196" s="199" t="s">
        <v>4085</v>
      </c>
      <c r="C1196" s="199" t="s">
        <v>34</v>
      </c>
      <c r="D1196" s="199" t="s">
        <v>35</v>
      </c>
      <c r="E1196" s="199">
        <v>8000</v>
      </c>
      <c r="F1196" s="199" t="s">
        <v>591</v>
      </c>
      <c r="G1196" s="199" t="s">
        <v>4472</v>
      </c>
      <c r="H1196" s="200">
        <v>7680</v>
      </c>
      <c r="I1196" s="199" t="s">
        <v>38</v>
      </c>
      <c r="J1196" s="199" t="s">
        <v>415</v>
      </c>
      <c r="K1196" s="201">
        <v>45413</v>
      </c>
      <c r="L1196" s="199" t="s">
        <v>3319</v>
      </c>
      <c r="M1196" s="199" t="s">
        <v>3320</v>
      </c>
    </row>
    <row r="1197" spans="1:13" ht="213.75">
      <c r="A1197" s="199">
        <v>1196</v>
      </c>
      <c r="B1197" s="199" t="s">
        <v>4517</v>
      </c>
      <c r="C1197" s="199" t="s">
        <v>34</v>
      </c>
      <c r="D1197" s="199" t="s">
        <v>35</v>
      </c>
      <c r="E1197" s="199">
        <v>15000</v>
      </c>
      <c r="F1197" s="199" t="s">
        <v>591</v>
      </c>
      <c r="G1197" s="199" t="s">
        <v>4472</v>
      </c>
      <c r="H1197" s="200">
        <v>745950</v>
      </c>
      <c r="I1197" s="199" t="s">
        <v>38</v>
      </c>
      <c r="J1197" s="199" t="s">
        <v>415</v>
      </c>
      <c r="K1197" s="201">
        <v>45413</v>
      </c>
      <c r="L1197" s="199" t="s">
        <v>3319</v>
      </c>
      <c r="M1197" s="199" t="s">
        <v>3320</v>
      </c>
    </row>
    <row r="1198" spans="1:13" ht="99.75">
      <c r="A1198" s="199">
        <v>1197</v>
      </c>
      <c r="B1198" s="199" t="s">
        <v>4518</v>
      </c>
      <c r="C1198" s="199" t="s">
        <v>34</v>
      </c>
      <c r="D1198" s="199" t="s">
        <v>35</v>
      </c>
      <c r="E1198" s="199">
        <v>40</v>
      </c>
      <c r="F1198" s="199" t="s">
        <v>8</v>
      </c>
      <c r="G1198" s="199" t="s">
        <v>4472</v>
      </c>
      <c r="H1198" s="200">
        <v>2910</v>
      </c>
      <c r="I1198" s="199" t="s">
        <v>38</v>
      </c>
      <c r="J1198" s="199" t="s">
        <v>415</v>
      </c>
      <c r="K1198" s="201">
        <v>45413</v>
      </c>
      <c r="L1198" s="199" t="s">
        <v>3319</v>
      </c>
      <c r="M1198" s="199" t="s">
        <v>3320</v>
      </c>
    </row>
    <row r="1199" spans="1:13" ht="85.5">
      <c r="A1199" s="199">
        <v>1198</v>
      </c>
      <c r="B1199" s="199" t="s">
        <v>4519</v>
      </c>
      <c r="C1199" s="199" t="s">
        <v>34</v>
      </c>
      <c r="D1199" s="199" t="s">
        <v>35</v>
      </c>
      <c r="E1199" s="199">
        <v>500</v>
      </c>
      <c r="F1199" s="199" t="s">
        <v>8</v>
      </c>
      <c r="G1199" s="199" t="s">
        <v>4472</v>
      </c>
      <c r="H1199" s="200">
        <v>98365</v>
      </c>
      <c r="I1199" s="199" t="s">
        <v>38</v>
      </c>
      <c r="J1199" s="199" t="s">
        <v>415</v>
      </c>
      <c r="K1199" s="201">
        <v>45413</v>
      </c>
      <c r="L1199" s="199" t="s">
        <v>3319</v>
      </c>
      <c r="M1199" s="199" t="s">
        <v>3320</v>
      </c>
    </row>
    <row r="1200" spans="1:13" ht="85.5">
      <c r="A1200" s="199">
        <v>1199</v>
      </c>
      <c r="B1200" s="199" t="s">
        <v>4520</v>
      </c>
      <c r="C1200" s="199" t="s">
        <v>34</v>
      </c>
      <c r="D1200" s="199" t="s">
        <v>35</v>
      </c>
      <c r="E1200" s="199">
        <v>200</v>
      </c>
      <c r="F1200" s="199" t="s">
        <v>2378</v>
      </c>
      <c r="G1200" s="199" t="s">
        <v>4472</v>
      </c>
      <c r="H1200" s="200">
        <v>11704</v>
      </c>
      <c r="I1200" s="199" t="s">
        <v>38</v>
      </c>
      <c r="J1200" s="199" t="s">
        <v>415</v>
      </c>
      <c r="K1200" s="201">
        <v>45413</v>
      </c>
      <c r="L1200" s="199" t="s">
        <v>3319</v>
      </c>
      <c r="M1200" s="199" t="s">
        <v>3320</v>
      </c>
    </row>
    <row r="1201" spans="1:13" ht="142.5">
      <c r="A1201" s="199">
        <v>1200</v>
      </c>
      <c r="B1201" s="199" t="s">
        <v>4521</v>
      </c>
      <c r="C1201" s="199" t="s">
        <v>34</v>
      </c>
      <c r="D1201" s="199" t="s">
        <v>35</v>
      </c>
      <c r="E1201" s="199">
        <v>5000</v>
      </c>
      <c r="F1201" s="199" t="s">
        <v>8</v>
      </c>
      <c r="G1201" s="199" t="s">
        <v>4472</v>
      </c>
      <c r="H1201" s="200">
        <v>30450</v>
      </c>
      <c r="I1201" s="199" t="s">
        <v>38</v>
      </c>
      <c r="J1201" s="199" t="s">
        <v>415</v>
      </c>
      <c r="K1201" s="201">
        <v>45413</v>
      </c>
      <c r="L1201" s="199" t="s">
        <v>3319</v>
      </c>
      <c r="M1201" s="199" t="s">
        <v>3320</v>
      </c>
    </row>
    <row r="1202" spans="1:13" ht="142.5">
      <c r="A1202" s="199">
        <v>1201</v>
      </c>
      <c r="B1202" s="199" t="s">
        <v>4522</v>
      </c>
      <c r="C1202" s="199" t="s">
        <v>34</v>
      </c>
      <c r="D1202" s="199" t="s">
        <v>35</v>
      </c>
      <c r="E1202" s="199">
        <v>1500</v>
      </c>
      <c r="F1202" s="199" t="s">
        <v>8</v>
      </c>
      <c r="G1202" s="199" t="s">
        <v>4472</v>
      </c>
      <c r="H1202" s="200">
        <v>4185</v>
      </c>
      <c r="I1202" s="199" t="s">
        <v>38</v>
      </c>
      <c r="J1202" s="199" t="s">
        <v>415</v>
      </c>
      <c r="K1202" s="201">
        <v>45413</v>
      </c>
      <c r="L1202" s="199" t="s">
        <v>3319</v>
      </c>
      <c r="M1202" s="199" t="s">
        <v>3320</v>
      </c>
    </row>
    <row r="1203" spans="1:13" ht="142.5">
      <c r="A1203" s="199">
        <v>1202</v>
      </c>
      <c r="B1203" s="199" t="s">
        <v>4523</v>
      </c>
      <c r="C1203" s="199" t="s">
        <v>34</v>
      </c>
      <c r="D1203" s="199" t="s">
        <v>35</v>
      </c>
      <c r="E1203" s="199">
        <v>2500</v>
      </c>
      <c r="F1203" s="199" t="s">
        <v>8</v>
      </c>
      <c r="G1203" s="199" t="s">
        <v>4472</v>
      </c>
      <c r="H1203" s="200">
        <v>9100</v>
      </c>
      <c r="I1203" s="199" t="s">
        <v>38</v>
      </c>
      <c r="J1203" s="199" t="s">
        <v>415</v>
      </c>
      <c r="K1203" s="201">
        <v>45413</v>
      </c>
      <c r="L1203" s="199" t="s">
        <v>3319</v>
      </c>
      <c r="M1203" s="199" t="s">
        <v>3320</v>
      </c>
    </row>
    <row r="1204" spans="1:13" ht="142.5">
      <c r="A1204" s="199">
        <v>1203</v>
      </c>
      <c r="B1204" s="199" t="s">
        <v>4524</v>
      </c>
      <c r="C1204" s="199" t="s">
        <v>34</v>
      </c>
      <c r="D1204" s="199" t="s">
        <v>35</v>
      </c>
      <c r="E1204" s="199">
        <v>1500</v>
      </c>
      <c r="F1204" s="199" t="s">
        <v>8</v>
      </c>
      <c r="G1204" s="199" t="s">
        <v>4472</v>
      </c>
      <c r="H1204" s="200">
        <v>7680</v>
      </c>
      <c r="I1204" s="199" t="s">
        <v>38</v>
      </c>
      <c r="J1204" s="199" t="s">
        <v>415</v>
      </c>
      <c r="K1204" s="201">
        <v>45413</v>
      </c>
      <c r="L1204" s="199" t="s">
        <v>3319</v>
      </c>
      <c r="M1204" s="199" t="s">
        <v>3320</v>
      </c>
    </row>
    <row r="1205" spans="1:13" ht="213.75">
      <c r="A1205" s="199">
        <v>1204</v>
      </c>
      <c r="B1205" s="199" t="s">
        <v>4525</v>
      </c>
      <c r="C1205" s="199" t="s">
        <v>34</v>
      </c>
      <c r="D1205" s="199" t="s">
        <v>35</v>
      </c>
      <c r="E1205" s="199">
        <v>1400</v>
      </c>
      <c r="F1205" s="199" t="s">
        <v>8</v>
      </c>
      <c r="G1205" s="199" t="s">
        <v>4472</v>
      </c>
      <c r="H1205" s="200">
        <v>4956</v>
      </c>
      <c r="I1205" s="199" t="s">
        <v>38</v>
      </c>
      <c r="J1205" s="199" t="s">
        <v>415</v>
      </c>
      <c r="K1205" s="201">
        <v>45413</v>
      </c>
      <c r="L1205" s="199" t="s">
        <v>3319</v>
      </c>
      <c r="M1205" s="199" t="s">
        <v>3320</v>
      </c>
    </row>
    <row r="1206" spans="1:13" ht="213.75">
      <c r="A1206" s="199">
        <v>1205</v>
      </c>
      <c r="B1206" s="199" t="s">
        <v>4526</v>
      </c>
      <c r="C1206" s="199" t="s">
        <v>34</v>
      </c>
      <c r="D1206" s="199" t="s">
        <v>35</v>
      </c>
      <c r="E1206" s="199">
        <v>500</v>
      </c>
      <c r="F1206" s="199" t="s">
        <v>8</v>
      </c>
      <c r="G1206" s="199" t="s">
        <v>4472</v>
      </c>
      <c r="H1206" s="200">
        <v>3100</v>
      </c>
      <c r="I1206" s="199" t="s">
        <v>38</v>
      </c>
      <c r="J1206" s="199" t="s">
        <v>415</v>
      </c>
      <c r="K1206" s="201">
        <v>45413</v>
      </c>
      <c r="L1206" s="199" t="s">
        <v>3319</v>
      </c>
      <c r="M1206" s="199" t="s">
        <v>3320</v>
      </c>
    </row>
    <row r="1207" spans="1:13" ht="142.5">
      <c r="A1207" s="199">
        <v>1206</v>
      </c>
      <c r="B1207" s="199" t="s">
        <v>4527</v>
      </c>
      <c r="C1207" s="199" t="s">
        <v>34</v>
      </c>
      <c r="D1207" s="199" t="s">
        <v>35</v>
      </c>
      <c r="E1207" s="199">
        <v>500</v>
      </c>
      <c r="F1207" s="199" t="s">
        <v>591</v>
      </c>
      <c r="G1207" s="199" t="s">
        <v>4472</v>
      </c>
      <c r="H1207" s="200">
        <v>175</v>
      </c>
      <c r="I1207" s="199" t="s">
        <v>38</v>
      </c>
      <c r="J1207" s="199" t="s">
        <v>415</v>
      </c>
      <c r="K1207" s="201">
        <v>45413</v>
      </c>
      <c r="L1207" s="199" t="s">
        <v>3319</v>
      </c>
      <c r="M1207" s="199" t="s">
        <v>3320</v>
      </c>
    </row>
    <row r="1208" spans="1:13" ht="85.5">
      <c r="A1208" s="199">
        <v>1207</v>
      </c>
      <c r="B1208" s="199" t="s">
        <v>4528</v>
      </c>
      <c r="C1208" s="199" t="s">
        <v>34</v>
      </c>
      <c r="D1208" s="199" t="s">
        <v>35</v>
      </c>
      <c r="E1208" s="199">
        <v>300</v>
      </c>
      <c r="F1208" s="199" t="s">
        <v>8</v>
      </c>
      <c r="G1208" s="199" t="s">
        <v>4472</v>
      </c>
      <c r="H1208" s="200">
        <v>68856</v>
      </c>
      <c r="I1208" s="199" t="s">
        <v>38</v>
      </c>
      <c r="J1208" s="199" t="s">
        <v>415</v>
      </c>
      <c r="K1208" s="201">
        <v>45413</v>
      </c>
      <c r="L1208" s="199" t="s">
        <v>3319</v>
      </c>
      <c r="M1208" s="199" t="s">
        <v>3320</v>
      </c>
    </row>
    <row r="1209" spans="1:13" ht="185.25">
      <c r="A1209" s="199">
        <v>1208</v>
      </c>
      <c r="B1209" s="199" t="s">
        <v>4529</v>
      </c>
      <c r="C1209" s="199" t="s">
        <v>34</v>
      </c>
      <c r="D1209" s="199" t="s">
        <v>35</v>
      </c>
      <c r="E1209" s="199">
        <v>200</v>
      </c>
      <c r="F1209" s="199" t="s">
        <v>8</v>
      </c>
      <c r="G1209" s="199" t="s">
        <v>4472</v>
      </c>
      <c r="H1209" s="200">
        <v>41040</v>
      </c>
      <c r="I1209" s="199" t="s">
        <v>38</v>
      </c>
      <c r="J1209" s="199" t="s">
        <v>415</v>
      </c>
      <c r="K1209" s="201">
        <v>45413</v>
      </c>
      <c r="L1209" s="199" t="s">
        <v>3319</v>
      </c>
      <c r="M1209" s="199" t="s">
        <v>3320</v>
      </c>
    </row>
    <row r="1210" spans="1:13" ht="85.5">
      <c r="A1210" s="199">
        <v>1209</v>
      </c>
      <c r="B1210" s="199" t="s">
        <v>4530</v>
      </c>
      <c r="C1210" s="199" t="s">
        <v>34</v>
      </c>
      <c r="D1210" s="199" t="s">
        <v>35</v>
      </c>
      <c r="E1210" s="199">
        <v>60</v>
      </c>
      <c r="F1210" s="199" t="s">
        <v>8</v>
      </c>
      <c r="G1210" s="199" t="s">
        <v>4472</v>
      </c>
      <c r="H1210" s="200">
        <v>18078</v>
      </c>
      <c r="I1210" s="199" t="s">
        <v>38</v>
      </c>
      <c r="J1210" s="199" t="s">
        <v>415</v>
      </c>
      <c r="K1210" s="201">
        <v>45413</v>
      </c>
      <c r="L1210" s="199" t="s">
        <v>3319</v>
      </c>
      <c r="M1210" s="199" t="s">
        <v>3320</v>
      </c>
    </row>
    <row r="1211" spans="1:13" ht="85.5">
      <c r="A1211" s="199">
        <v>1210</v>
      </c>
      <c r="B1211" s="199" t="s">
        <v>4088</v>
      </c>
      <c r="C1211" s="199" t="s">
        <v>34</v>
      </c>
      <c r="D1211" s="199" t="s">
        <v>35</v>
      </c>
      <c r="E1211" s="199">
        <v>600</v>
      </c>
      <c r="F1211" s="199" t="s">
        <v>8</v>
      </c>
      <c r="G1211" s="199" t="s">
        <v>4472</v>
      </c>
      <c r="H1211" s="200">
        <v>9054</v>
      </c>
      <c r="I1211" s="199" t="s">
        <v>38</v>
      </c>
      <c r="J1211" s="199" t="s">
        <v>415</v>
      </c>
      <c r="K1211" s="201">
        <v>45413</v>
      </c>
      <c r="L1211" s="199" t="s">
        <v>3319</v>
      </c>
      <c r="M1211" s="199" t="s">
        <v>3320</v>
      </c>
    </row>
    <row r="1212" spans="1:13" ht="85.5">
      <c r="A1212" s="199">
        <v>1211</v>
      </c>
      <c r="B1212" s="199" t="s">
        <v>4531</v>
      </c>
      <c r="C1212" s="199" t="s">
        <v>34</v>
      </c>
      <c r="D1212" s="199" t="s">
        <v>35</v>
      </c>
      <c r="E1212" s="199">
        <v>500</v>
      </c>
      <c r="F1212" s="199" t="s">
        <v>8</v>
      </c>
      <c r="G1212" s="199" t="s">
        <v>4472</v>
      </c>
      <c r="H1212" s="200">
        <v>3860</v>
      </c>
      <c r="I1212" s="199" t="s">
        <v>38</v>
      </c>
      <c r="J1212" s="199" t="s">
        <v>415</v>
      </c>
      <c r="K1212" s="201">
        <v>45413</v>
      </c>
      <c r="L1212" s="199" t="s">
        <v>3319</v>
      </c>
      <c r="M1212" s="199" t="s">
        <v>3320</v>
      </c>
    </row>
    <row r="1213" spans="1:13" ht="85.5">
      <c r="A1213" s="199">
        <v>1212</v>
      </c>
      <c r="B1213" s="199" t="s">
        <v>4532</v>
      </c>
      <c r="C1213" s="199" t="s">
        <v>34</v>
      </c>
      <c r="D1213" s="199" t="s">
        <v>35</v>
      </c>
      <c r="E1213" s="199">
        <v>500</v>
      </c>
      <c r="F1213" s="199" t="s">
        <v>8</v>
      </c>
      <c r="G1213" s="199" t="s">
        <v>4472</v>
      </c>
      <c r="H1213" s="200">
        <v>4155</v>
      </c>
      <c r="I1213" s="199" t="s">
        <v>38</v>
      </c>
      <c r="J1213" s="199" t="s">
        <v>415</v>
      </c>
      <c r="K1213" s="201">
        <v>45413</v>
      </c>
      <c r="L1213" s="199" t="s">
        <v>3319</v>
      </c>
      <c r="M1213" s="199" t="s">
        <v>3320</v>
      </c>
    </row>
    <row r="1214" spans="1:13" ht="85.5">
      <c r="A1214" s="199">
        <v>1213</v>
      </c>
      <c r="B1214" s="199" t="s">
        <v>4533</v>
      </c>
      <c r="C1214" s="199" t="s">
        <v>34</v>
      </c>
      <c r="D1214" s="199" t="s">
        <v>35</v>
      </c>
      <c r="E1214" s="199">
        <v>500</v>
      </c>
      <c r="F1214" s="199" t="s">
        <v>591</v>
      </c>
      <c r="G1214" s="199" t="s">
        <v>4472</v>
      </c>
      <c r="H1214" s="200">
        <v>7005</v>
      </c>
      <c r="I1214" s="199" t="s">
        <v>38</v>
      </c>
      <c r="J1214" s="199" t="s">
        <v>415</v>
      </c>
      <c r="K1214" s="201">
        <v>45413</v>
      </c>
      <c r="L1214" s="199" t="s">
        <v>3319</v>
      </c>
      <c r="M1214" s="199" t="s">
        <v>3320</v>
      </c>
    </row>
    <row r="1215" spans="1:13" ht="128.25">
      <c r="A1215" s="199">
        <v>1214</v>
      </c>
      <c r="B1215" s="199" t="s">
        <v>4534</v>
      </c>
      <c r="C1215" s="199" t="s">
        <v>34</v>
      </c>
      <c r="D1215" s="199" t="s">
        <v>35</v>
      </c>
      <c r="E1215" s="199">
        <v>3000</v>
      </c>
      <c r="F1215" s="199" t="s">
        <v>8</v>
      </c>
      <c r="G1215" s="199" t="s">
        <v>4472</v>
      </c>
      <c r="H1215" s="200">
        <v>6150</v>
      </c>
      <c r="I1215" s="199" t="s">
        <v>38</v>
      </c>
      <c r="J1215" s="199" t="s">
        <v>415</v>
      </c>
      <c r="K1215" s="201">
        <v>45413</v>
      </c>
      <c r="L1215" s="199" t="s">
        <v>3319</v>
      </c>
      <c r="M1215" s="199" t="s">
        <v>3320</v>
      </c>
    </row>
    <row r="1216" spans="1:13" ht="128.25">
      <c r="A1216" s="199">
        <v>1215</v>
      </c>
      <c r="B1216" s="199" t="s">
        <v>4535</v>
      </c>
      <c r="C1216" s="199" t="s">
        <v>34</v>
      </c>
      <c r="D1216" s="199" t="s">
        <v>35</v>
      </c>
      <c r="E1216" s="199">
        <v>5000</v>
      </c>
      <c r="F1216" s="199" t="s">
        <v>8</v>
      </c>
      <c r="G1216" s="199" t="s">
        <v>4472</v>
      </c>
      <c r="H1216" s="200">
        <v>10150</v>
      </c>
      <c r="I1216" s="199" t="s">
        <v>38</v>
      </c>
      <c r="J1216" s="199" t="s">
        <v>415</v>
      </c>
      <c r="K1216" s="201">
        <v>45413</v>
      </c>
      <c r="L1216" s="199" t="s">
        <v>3319</v>
      </c>
      <c r="M1216" s="199" t="s">
        <v>3320</v>
      </c>
    </row>
    <row r="1217" spans="1:13" ht="128.25">
      <c r="A1217" s="199">
        <v>1216</v>
      </c>
      <c r="B1217" s="199" t="s">
        <v>4536</v>
      </c>
      <c r="C1217" s="199" t="s">
        <v>34</v>
      </c>
      <c r="D1217" s="199" t="s">
        <v>35</v>
      </c>
      <c r="E1217" s="199">
        <v>3000</v>
      </c>
      <c r="F1217" s="199" t="s">
        <v>8</v>
      </c>
      <c r="G1217" s="199" t="s">
        <v>4472</v>
      </c>
      <c r="H1217" s="200">
        <v>5670</v>
      </c>
      <c r="I1217" s="199" t="s">
        <v>38</v>
      </c>
      <c r="J1217" s="199" t="s">
        <v>415</v>
      </c>
      <c r="K1217" s="201">
        <v>45413</v>
      </c>
      <c r="L1217" s="199" t="s">
        <v>3319</v>
      </c>
      <c r="M1217" s="199" t="s">
        <v>3320</v>
      </c>
    </row>
    <row r="1218" spans="1:13" ht="85.5">
      <c r="A1218" s="199">
        <v>1217</v>
      </c>
      <c r="B1218" s="199" t="s">
        <v>4537</v>
      </c>
      <c r="C1218" s="199" t="s">
        <v>34</v>
      </c>
      <c r="D1218" s="199" t="s">
        <v>35</v>
      </c>
      <c r="E1218" s="199">
        <v>60</v>
      </c>
      <c r="F1218" s="199" t="s">
        <v>8</v>
      </c>
      <c r="G1218" s="199" t="s">
        <v>4472</v>
      </c>
      <c r="H1218" s="200">
        <v>1923</v>
      </c>
      <c r="I1218" s="199" t="s">
        <v>38</v>
      </c>
      <c r="J1218" s="199" t="s">
        <v>415</v>
      </c>
      <c r="K1218" s="201">
        <v>45413</v>
      </c>
      <c r="L1218" s="199" t="s">
        <v>3319</v>
      </c>
      <c r="M1218" s="199" t="s">
        <v>3320</v>
      </c>
    </row>
    <row r="1219" spans="1:13" ht="185.25">
      <c r="A1219" s="199">
        <v>1218</v>
      </c>
      <c r="B1219" s="199" t="s">
        <v>4538</v>
      </c>
      <c r="C1219" s="199" t="s">
        <v>34</v>
      </c>
      <c r="D1219" s="199" t="s">
        <v>35</v>
      </c>
      <c r="E1219" s="199">
        <v>300</v>
      </c>
      <c r="F1219" s="199" t="s">
        <v>8</v>
      </c>
      <c r="G1219" s="199" t="s">
        <v>4472</v>
      </c>
      <c r="H1219" s="200">
        <v>879</v>
      </c>
      <c r="I1219" s="199" t="s">
        <v>38</v>
      </c>
      <c r="J1219" s="199" t="s">
        <v>415</v>
      </c>
      <c r="K1219" s="201">
        <v>45413</v>
      </c>
      <c r="L1219" s="199" t="s">
        <v>3319</v>
      </c>
      <c r="M1219" s="199" t="s">
        <v>3320</v>
      </c>
    </row>
    <row r="1220" spans="1:13" ht="185.25">
      <c r="A1220" s="199">
        <v>1219</v>
      </c>
      <c r="B1220" s="199" t="s">
        <v>4539</v>
      </c>
      <c r="C1220" s="199" t="s">
        <v>34</v>
      </c>
      <c r="D1220" s="199" t="s">
        <v>35</v>
      </c>
      <c r="E1220" s="199">
        <v>300</v>
      </c>
      <c r="F1220" s="199" t="s">
        <v>8</v>
      </c>
      <c r="G1220" s="199" t="s">
        <v>4472</v>
      </c>
      <c r="H1220" s="200">
        <v>825</v>
      </c>
      <c r="I1220" s="199" t="s">
        <v>38</v>
      </c>
      <c r="J1220" s="199" t="s">
        <v>415</v>
      </c>
      <c r="K1220" s="201">
        <v>45413</v>
      </c>
      <c r="L1220" s="199" t="s">
        <v>3319</v>
      </c>
      <c r="M1220" s="199" t="s">
        <v>3320</v>
      </c>
    </row>
    <row r="1221" spans="1:13" ht="185.25">
      <c r="A1221" s="199">
        <v>1220</v>
      </c>
      <c r="B1221" s="199" t="s">
        <v>4540</v>
      </c>
      <c r="C1221" s="199" t="s">
        <v>34</v>
      </c>
      <c r="D1221" s="199" t="s">
        <v>35</v>
      </c>
      <c r="E1221" s="199">
        <v>300</v>
      </c>
      <c r="F1221" s="199" t="s">
        <v>8</v>
      </c>
      <c r="G1221" s="199" t="s">
        <v>4472</v>
      </c>
      <c r="H1221" s="200">
        <v>741</v>
      </c>
      <c r="I1221" s="199" t="s">
        <v>38</v>
      </c>
      <c r="J1221" s="199" t="s">
        <v>415</v>
      </c>
      <c r="K1221" s="201">
        <v>45413</v>
      </c>
      <c r="L1221" s="199" t="s">
        <v>3319</v>
      </c>
      <c r="M1221" s="199" t="s">
        <v>3320</v>
      </c>
    </row>
    <row r="1222" spans="1:13" ht="185.25">
      <c r="A1222" s="199">
        <v>1221</v>
      </c>
      <c r="B1222" s="199" t="s">
        <v>4541</v>
      </c>
      <c r="C1222" s="199" t="s">
        <v>34</v>
      </c>
      <c r="D1222" s="199" t="s">
        <v>35</v>
      </c>
      <c r="E1222" s="199">
        <v>300</v>
      </c>
      <c r="F1222" s="199" t="s">
        <v>8</v>
      </c>
      <c r="G1222" s="199" t="s">
        <v>4472</v>
      </c>
      <c r="H1222" s="200">
        <v>819</v>
      </c>
      <c r="I1222" s="199" t="s">
        <v>38</v>
      </c>
      <c r="J1222" s="199" t="s">
        <v>415</v>
      </c>
      <c r="K1222" s="201">
        <v>45413</v>
      </c>
      <c r="L1222" s="199" t="s">
        <v>3319</v>
      </c>
      <c r="M1222" s="199" t="s">
        <v>3320</v>
      </c>
    </row>
    <row r="1223" spans="1:13" ht="185.25">
      <c r="A1223" s="199">
        <v>1222</v>
      </c>
      <c r="B1223" s="199" t="s">
        <v>4542</v>
      </c>
      <c r="C1223" s="199" t="s">
        <v>34</v>
      </c>
      <c r="D1223" s="199" t="s">
        <v>35</v>
      </c>
      <c r="E1223" s="199">
        <v>300</v>
      </c>
      <c r="F1223" s="199" t="s">
        <v>8</v>
      </c>
      <c r="G1223" s="199" t="s">
        <v>4472</v>
      </c>
      <c r="H1223" s="200">
        <v>825</v>
      </c>
      <c r="I1223" s="199" t="s">
        <v>38</v>
      </c>
      <c r="J1223" s="199" t="s">
        <v>415</v>
      </c>
      <c r="K1223" s="201">
        <v>45413</v>
      </c>
      <c r="L1223" s="199" t="s">
        <v>3319</v>
      </c>
      <c r="M1223" s="199" t="s">
        <v>3320</v>
      </c>
    </row>
    <row r="1224" spans="1:13" ht="185.25">
      <c r="A1224" s="199">
        <v>1223</v>
      </c>
      <c r="B1224" s="199" t="s">
        <v>4543</v>
      </c>
      <c r="C1224" s="199" t="s">
        <v>34</v>
      </c>
      <c r="D1224" s="199" t="s">
        <v>35</v>
      </c>
      <c r="E1224" s="199">
        <v>300</v>
      </c>
      <c r="F1224" s="199" t="s">
        <v>8</v>
      </c>
      <c r="G1224" s="199" t="s">
        <v>4472</v>
      </c>
      <c r="H1224" s="200">
        <v>741</v>
      </c>
      <c r="I1224" s="199" t="s">
        <v>38</v>
      </c>
      <c r="J1224" s="199" t="s">
        <v>415</v>
      </c>
      <c r="K1224" s="201">
        <v>45413</v>
      </c>
      <c r="L1224" s="199" t="s">
        <v>3319</v>
      </c>
      <c r="M1224" s="199" t="s">
        <v>3320</v>
      </c>
    </row>
    <row r="1225" spans="1:13" ht="185.25">
      <c r="A1225" s="199">
        <v>1224</v>
      </c>
      <c r="B1225" s="199" t="s">
        <v>4544</v>
      </c>
      <c r="C1225" s="199" t="s">
        <v>34</v>
      </c>
      <c r="D1225" s="199" t="s">
        <v>35</v>
      </c>
      <c r="E1225" s="199">
        <v>600</v>
      </c>
      <c r="F1225" s="199" t="s">
        <v>8</v>
      </c>
      <c r="G1225" s="199" t="s">
        <v>4472</v>
      </c>
      <c r="H1225" s="200">
        <v>1482</v>
      </c>
      <c r="I1225" s="199" t="s">
        <v>38</v>
      </c>
      <c r="J1225" s="199" t="s">
        <v>415</v>
      </c>
      <c r="K1225" s="201">
        <v>45413</v>
      </c>
      <c r="L1225" s="199" t="s">
        <v>3319</v>
      </c>
      <c r="M1225" s="199" t="s">
        <v>3320</v>
      </c>
    </row>
    <row r="1226" spans="1:13" ht="185.25">
      <c r="A1226" s="199">
        <v>1225</v>
      </c>
      <c r="B1226" s="199" t="s">
        <v>4545</v>
      </c>
      <c r="C1226" s="199" t="s">
        <v>34</v>
      </c>
      <c r="D1226" s="199" t="s">
        <v>35</v>
      </c>
      <c r="E1226" s="199">
        <v>600</v>
      </c>
      <c r="F1226" s="199" t="s">
        <v>8</v>
      </c>
      <c r="G1226" s="199" t="s">
        <v>4472</v>
      </c>
      <c r="H1226" s="200">
        <v>1650</v>
      </c>
      <c r="I1226" s="199" t="s">
        <v>38</v>
      </c>
      <c r="J1226" s="199" t="s">
        <v>415</v>
      </c>
      <c r="K1226" s="201">
        <v>45413</v>
      </c>
      <c r="L1226" s="199" t="s">
        <v>3319</v>
      </c>
      <c r="M1226" s="199" t="s">
        <v>3320</v>
      </c>
    </row>
    <row r="1227" spans="1:13" ht="185.25">
      <c r="A1227" s="199">
        <v>1226</v>
      </c>
      <c r="B1227" s="199" t="s">
        <v>4546</v>
      </c>
      <c r="C1227" s="199" t="s">
        <v>34</v>
      </c>
      <c r="D1227" s="199" t="s">
        <v>35</v>
      </c>
      <c r="E1227" s="199">
        <v>600</v>
      </c>
      <c r="F1227" s="199" t="s">
        <v>8</v>
      </c>
      <c r="G1227" s="199" t="s">
        <v>4472</v>
      </c>
      <c r="H1227" s="200">
        <v>1548</v>
      </c>
      <c r="I1227" s="199" t="s">
        <v>38</v>
      </c>
      <c r="J1227" s="199" t="s">
        <v>415</v>
      </c>
      <c r="K1227" s="201">
        <v>45413</v>
      </c>
      <c r="L1227" s="199" t="s">
        <v>3319</v>
      </c>
      <c r="M1227" s="199" t="s">
        <v>3320</v>
      </c>
    </row>
    <row r="1228" spans="1:13" ht="185.25">
      <c r="A1228" s="199">
        <v>1227</v>
      </c>
      <c r="B1228" s="199" t="s">
        <v>4547</v>
      </c>
      <c r="C1228" s="199" t="s">
        <v>34</v>
      </c>
      <c r="D1228" s="199" t="s">
        <v>35</v>
      </c>
      <c r="E1228" s="199">
        <v>300</v>
      </c>
      <c r="F1228" s="199" t="s">
        <v>8</v>
      </c>
      <c r="G1228" s="199" t="s">
        <v>4472</v>
      </c>
      <c r="H1228" s="200">
        <v>780</v>
      </c>
      <c r="I1228" s="199" t="s">
        <v>38</v>
      </c>
      <c r="J1228" s="199" t="s">
        <v>415</v>
      </c>
      <c r="K1228" s="201">
        <v>45413</v>
      </c>
      <c r="L1228" s="199" t="s">
        <v>3319</v>
      </c>
      <c r="M1228" s="199" t="s">
        <v>3320</v>
      </c>
    </row>
    <row r="1229" spans="1:13" ht="185.25">
      <c r="A1229" s="199">
        <v>1228</v>
      </c>
      <c r="B1229" s="199" t="s">
        <v>4548</v>
      </c>
      <c r="C1229" s="199" t="s">
        <v>34</v>
      </c>
      <c r="D1229" s="199" t="s">
        <v>35</v>
      </c>
      <c r="E1229" s="199">
        <v>300</v>
      </c>
      <c r="F1229" s="199" t="s">
        <v>8</v>
      </c>
      <c r="G1229" s="199" t="s">
        <v>4472</v>
      </c>
      <c r="H1229" s="200">
        <v>873</v>
      </c>
      <c r="I1229" s="199" t="s">
        <v>38</v>
      </c>
      <c r="J1229" s="199" t="s">
        <v>415</v>
      </c>
      <c r="K1229" s="201">
        <v>45413</v>
      </c>
      <c r="L1229" s="199" t="s">
        <v>3319</v>
      </c>
      <c r="M1229" s="199" t="s">
        <v>3320</v>
      </c>
    </row>
    <row r="1230" spans="1:13" ht="99.75">
      <c r="A1230" s="199">
        <v>1229</v>
      </c>
      <c r="B1230" s="199" t="s">
        <v>4549</v>
      </c>
      <c r="C1230" s="199" t="s">
        <v>34</v>
      </c>
      <c r="D1230" s="199" t="s">
        <v>35</v>
      </c>
      <c r="E1230" s="199">
        <v>3200</v>
      </c>
      <c r="F1230" s="199" t="s">
        <v>8</v>
      </c>
      <c r="G1230" s="199" t="s">
        <v>4472</v>
      </c>
      <c r="H1230" s="200">
        <v>51424</v>
      </c>
      <c r="I1230" s="199" t="s">
        <v>38</v>
      </c>
      <c r="J1230" s="199" t="s">
        <v>415</v>
      </c>
      <c r="K1230" s="201">
        <v>45413</v>
      </c>
      <c r="L1230" s="199" t="s">
        <v>3319</v>
      </c>
      <c r="M1230" s="199" t="s">
        <v>3320</v>
      </c>
    </row>
    <row r="1231" spans="1:13" ht="99.75">
      <c r="A1231" s="199">
        <v>1230</v>
      </c>
      <c r="B1231" s="199" t="s">
        <v>4550</v>
      </c>
      <c r="C1231" s="199" t="s">
        <v>34</v>
      </c>
      <c r="D1231" s="199" t="s">
        <v>35</v>
      </c>
      <c r="E1231" s="199">
        <v>1100</v>
      </c>
      <c r="F1231" s="199" t="s">
        <v>8</v>
      </c>
      <c r="G1231" s="199" t="s">
        <v>4472</v>
      </c>
      <c r="H1231" s="200">
        <v>3652</v>
      </c>
      <c r="I1231" s="199" t="s">
        <v>38</v>
      </c>
      <c r="J1231" s="199" t="s">
        <v>415</v>
      </c>
      <c r="K1231" s="201">
        <v>45413</v>
      </c>
      <c r="L1231" s="199" t="s">
        <v>3319</v>
      </c>
      <c r="M1231" s="199" t="s">
        <v>3320</v>
      </c>
    </row>
    <row r="1232" spans="1:13" ht="99.75">
      <c r="A1232" s="199">
        <v>1231</v>
      </c>
      <c r="B1232" s="199" t="s">
        <v>4551</v>
      </c>
      <c r="C1232" s="199" t="s">
        <v>34</v>
      </c>
      <c r="D1232" s="199" t="s">
        <v>35</v>
      </c>
      <c r="E1232" s="199">
        <v>3000</v>
      </c>
      <c r="F1232" s="199" t="s">
        <v>8</v>
      </c>
      <c r="G1232" s="199" t="s">
        <v>4472</v>
      </c>
      <c r="H1232" s="200">
        <v>13890</v>
      </c>
      <c r="I1232" s="199" t="s">
        <v>38</v>
      </c>
      <c r="J1232" s="199" t="s">
        <v>415</v>
      </c>
      <c r="K1232" s="201">
        <v>45413</v>
      </c>
      <c r="L1232" s="199" t="s">
        <v>3319</v>
      </c>
      <c r="M1232" s="199" t="s">
        <v>3320</v>
      </c>
    </row>
    <row r="1233" spans="1:13" ht="99.75">
      <c r="A1233" s="199">
        <v>1232</v>
      </c>
      <c r="B1233" s="199" t="s">
        <v>4552</v>
      </c>
      <c r="C1233" s="199" t="s">
        <v>34</v>
      </c>
      <c r="D1233" s="199" t="s">
        <v>35</v>
      </c>
      <c r="E1233" s="199">
        <v>500</v>
      </c>
      <c r="F1233" s="199" t="s">
        <v>8</v>
      </c>
      <c r="G1233" s="199" t="s">
        <v>4472</v>
      </c>
      <c r="H1233" s="200">
        <v>7880</v>
      </c>
      <c r="I1233" s="199" t="s">
        <v>38</v>
      </c>
      <c r="J1233" s="199" t="s">
        <v>415</v>
      </c>
      <c r="K1233" s="201">
        <v>45413</v>
      </c>
      <c r="L1233" s="199" t="s">
        <v>3319</v>
      </c>
      <c r="M1233" s="199" t="s">
        <v>3320</v>
      </c>
    </row>
    <row r="1234" spans="1:13" ht="85.5">
      <c r="A1234" s="199">
        <v>1233</v>
      </c>
      <c r="B1234" s="199" t="s">
        <v>4553</v>
      </c>
      <c r="C1234" s="199" t="s">
        <v>34</v>
      </c>
      <c r="D1234" s="199" t="s">
        <v>35</v>
      </c>
      <c r="E1234" s="199">
        <v>4000</v>
      </c>
      <c r="F1234" s="199" t="s">
        <v>8</v>
      </c>
      <c r="G1234" s="199" t="s">
        <v>4472</v>
      </c>
      <c r="H1234" s="200">
        <v>24640</v>
      </c>
      <c r="I1234" s="199" t="s">
        <v>38</v>
      </c>
      <c r="J1234" s="199" t="s">
        <v>415</v>
      </c>
      <c r="K1234" s="201">
        <v>45413</v>
      </c>
      <c r="L1234" s="199" t="s">
        <v>3319</v>
      </c>
      <c r="M1234" s="199" t="s">
        <v>3320</v>
      </c>
    </row>
    <row r="1235" spans="1:13" ht="85.5">
      <c r="A1235" s="199">
        <v>1234</v>
      </c>
      <c r="B1235" s="199" t="s">
        <v>4554</v>
      </c>
      <c r="C1235" s="199" t="s">
        <v>34</v>
      </c>
      <c r="D1235" s="199" t="s">
        <v>35</v>
      </c>
      <c r="E1235" s="199">
        <v>1000</v>
      </c>
      <c r="F1235" s="199" t="s">
        <v>8</v>
      </c>
      <c r="G1235" s="199" t="s">
        <v>4472</v>
      </c>
      <c r="H1235" s="200">
        <v>5960</v>
      </c>
      <c r="I1235" s="199" t="s">
        <v>38</v>
      </c>
      <c r="J1235" s="199" t="s">
        <v>415</v>
      </c>
      <c r="K1235" s="201">
        <v>45413</v>
      </c>
      <c r="L1235" s="199" t="s">
        <v>3319</v>
      </c>
      <c r="M1235" s="199" t="s">
        <v>3320</v>
      </c>
    </row>
    <row r="1236" spans="1:13" ht="85.5">
      <c r="A1236" s="199">
        <v>1235</v>
      </c>
      <c r="B1236" s="199" t="s">
        <v>4555</v>
      </c>
      <c r="C1236" s="199" t="s">
        <v>34</v>
      </c>
      <c r="D1236" s="199" t="s">
        <v>35</v>
      </c>
      <c r="E1236" s="199">
        <v>200</v>
      </c>
      <c r="F1236" s="199" t="s">
        <v>8</v>
      </c>
      <c r="G1236" s="199" t="s">
        <v>4472</v>
      </c>
      <c r="H1236" s="200">
        <v>2412</v>
      </c>
      <c r="I1236" s="199" t="s">
        <v>38</v>
      </c>
      <c r="J1236" s="199" t="s">
        <v>415</v>
      </c>
      <c r="K1236" s="201">
        <v>45413</v>
      </c>
      <c r="L1236" s="199" t="s">
        <v>3319</v>
      </c>
      <c r="M1236" s="199" t="s">
        <v>3320</v>
      </c>
    </row>
    <row r="1237" spans="1:13" ht="85.5">
      <c r="A1237" s="199">
        <v>1236</v>
      </c>
      <c r="B1237" s="199" t="s">
        <v>4556</v>
      </c>
      <c r="C1237" s="199" t="s">
        <v>34</v>
      </c>
      <c r="D1237" s="199" t="s">
        <v>35</v>
      </c>
      <c r="E1237" s="199">
        <v>300</v>
      </c>
      <c r="F1237" s="199" t="s">
        <v>2378</v>
      </c>
      <c r="G1237" s="199" t="s">
        <v>4472</v>
      </c>
      <c r="H1237" s="200">
        <v>15990</v>
      </c>
      <c r="I1237" s="199" t="s">
        <v>38</v>
      </c>
      <c r="J1237" s="199" t="s">
        <v>415</v>
      </c>
      <c r="K1237" s="201">
        <v>45413</v>
      </c>
      <c r="L1237" s="199" t="s">
        <v>3319</v>
      </c>
      <c r="M1237" s="199" t="s">
        <v>3320</v>
      </c>
    </row>
    <row r="1238" spans="1:13" ht="99.75">
      <c r="A1238" s="199">
        <v>1237</v>
      </c>
      <c r="B1238" s="199" t="s">
        <v>4557</v>
      </c>
      <c r="C1238" s="199" t="s">
        <v>34</v>
      </c>
      <c r="D1238" s="199" t="s">
        <v>35</v>
      </c>
      <c r="E1238" s="199">
        <v>500</v>
      </c>
      <c r="F1238" s="199" t="s">
        <v>2378</v>
      </c>
      <c r="G1238" s="199" t="s">
        <v>4472</v>
      </c>
      <c r="H1238" s="200">
        <v>4895</v>
      </c>
      <c r="I1238" s="199" t="s">
        <v>38</v>
      </c>
      <c r="J1238" s="199" t="s">
        <v>415</v>
      </c>
      <c r="K1238" s="201">
        <v>45413</v>
      </c>
      <c r="L1238" s="199" t="s">
        <v>3319</v>
      </c>
      <c r="M1238" s="199" t="s">
        <v>3320</v>
      </c>
    </row>
    <row r="1239" spans="1:13" ht="85.5">
      <c r="A1239" s="199">
        <v>1238</v>
      </c>
      <c r="B1239" s="199" t="s">
        <v>4558</v>
      </c>
      <c r="C1239" s="199" t="s">
        <v>34</v>
      </c>
      <c r="D1239" s="199" t="s">
        <v>35</v>
      </c>
      <c r="E1239" s="199">
        <v>300</v>
      </c>
      <c r="F1239" s="199" t="s">
        <v>2378</v>
      </c>
      <c r="G1239" s="199" t="s">
        <v>4472</v>
      </c>
      <c r="H1239" s="200">
        <v>2793</v>
      </c>
      <c r="I1239" s="199" t="s">
        <v>38</v>
      </c>
      <c r="J1239" s="199" t="s">
        <v>415</v>
      </c>
      <c r="K1239" s="201">
        <v>45413</v>
      </c>
      <c r="L1239" s="199" t="s">
        <v>3319</v>
      </c>
      <c r="M1239" s="199" t="s">
        <v>3320</v>
      </c>
    </row>
    <row r="1240" spans="1:13" ht="128.25">
      <c r="A1240" s="199">
        <v>1239</v>
      </c>
      <c r="B1240" s="199" t="s">
        <v>4559</v>
      </c>
      <c r="C1240" s="199" t="s">
        <v>34</v>
      </c>
      <c r="D1240" s="199" t="s">
        <v>35</v>
      </c>
      <c r="E1240" s="199">
        <v>500</v>
      </c>
      <c r="F1240" s="199" t="s">
        <v>8</v>
      </c>
      <c r="G1240" s="199" t="s">
        <v>4472</v>
      </c>
      <c r="H1240" s="200">
        <v>1165</v>
      </c>
      <c r="I1240" s="199" t="s">
        <v>38</v>
      </c>
      <c r="J1240" s="199" t="s">
        <v>415</v>
      </c>
      <c r="K1240" s="201">
        <v>45413</v>
      </c>
      <c r="L1240" s="199" t="s">
        <v>3319</v>
      </c>
      <c r="M1240" s="199" t="s">
        <v>3320</v>
      </c>
    </row>
    <row r="1241" spans="1:13" ht="85.5">
      <c r="A1241" s="199">
        <v>1240</v>
      </c>
      <c r="B1241" s="199" t="s">
        <v>4560</v>
      </c>
      <c r="C1241" s="199" t="s">
        <v>34</v>
      </c>
      <c r="D1241" s="199" t="s">
        <v>35</v>
      </c>
      <c r="E1241" s="199">
        <v>1700</v>
      </c>
      <c r="F1241" s="199" t="s">
        <v>2378</v>
      </c>
      <c r="G1241" s="199" t="s">
        <v>4472</v>
      </c>
      <c r="H1241" s="200">
        <v>23630</v>
      </c>
      <c r="I1241" s="199" t="s">
        <v>38</v>
      </c>
      <c r="J1241" s="199" t="s">
        <v>415</v>
      </c>
      <c r="K1241" s="201">
        <v>45413</v>
      </c>
      <c r="L1241" s="199" t="s">
        <v>3319</v>
      </c>
      <c r="M1241" s="199" t="s">
        <v>3320</v>
      </c>
    </row>
    <row r="1242" spans="1:13" ht="228">
      <c r="A1242" s="199">
        <v>1241</v>
      </c>
      <c r="B1242" s="199" t="s">
        <v>4561</v>
      </c>
      <c r="C1242" s="199" t="s">
        <v>34</v>
      </c>
      <c r="D1242" s="199" t="s">
        <v>35</v>
      </c>
      <c r="E1242" s="199">
        <v>20</v>
      </c>
      <c r="F1242" s="199" t="s">
        <v>679</v>
      </c>
      <c r="G1242" s="199" t="s">
        <v>4472</v>
      </c>
      <c r="H1242" s="200">
        <v>28200</v>
      </c>
      <c r="I1242" s="199" t="s">
        <v>38</v>
      </c>
      <c r="J1242" s="199" t="s">
        <v>415</v>
      </c>
      <c r="K1242" s="201">
        <v>45413</v>
      </c>
      <c r="L1242" s="199" t="s">
        <v>3319</v>
      </c>
      <c r="M1242" s="199" t="s">
        <v>3320</v>
      </c>
    </row>
    <row r="1243" spans="1:13" ht="156.75">
      <c r="A1243" s="199">
        <v>1242</v>
      </c>
      <c r="B1243" s="199" t="s">
        <v>4562</v>
      </c>
      <c r="C1243" s="199" t="s">
        <v>34</v>
      </c>
      <c r="D1243" s="199" t="s">
        <v>35</v>
      </c>
      <c r="E1243" s="199">
        <v>400</v>
      </c>
      <c r="F1243" s="199" t="s">
        <v>2378</v>
      </c>
      <c r="G1243" s="199" t="s">
        <v>4472</v>
      </c>
      <c r="H1243" s="200">
        <v>38120</v>
      </c>
      <c r="I1243" s="199" t="s">
        <v>38</v>
      </c>
      <c r="J1243" s="199" t="s">
        <v>415</v>
      </c>
      <c r="K1243" s="201">
        <v>45413</v>
      </c>
      <c r="L1243" s="199" t="s">
        <v>3319</v>
      </c>
      <c r="M1243" s="199" t="s">
        <v>3320</v>
      </c>
    </row>
    <row r="1244" spans="1:13" ht="85.5">
      <c r="A1244" s="199">
        <v>1243</v>
      </c>
      <c r="B1244" s="199" t="s">
        <v>4563</v>
      </c>
      <c r="C1244" s="199" t="s">
        <v>34</v>
      </c>
      <c r="D1244" s="199" t="s">
        <v>35</v>
      </c>
      <c r="E1244" s="199">
        <v>3125</v>
      </c>
      <c r="F1244" s="199" t="s">
        <v>3846</v>
      </c>
      <c r="G1244" s="199" t="s">
        <v>4472</v>
      </c>
      <c r="H1244" s="200">
        <v>389843.75</v>
      </c>
      <c r="I1244" s="199" t="s">
        <v>38</v>
      </c>
      <c r="J1244" s="199" t="s">
        <v>415</v>
      </c>
      <c r="K1244" s="201">
        <v>45413</v>
      </c>
      <c r="L1244" s="199" t="s">
        <v>3319</v>
      </c>
      <c r="M1244" s="199" t="s">
        <v>3320</v>
      </c>
    </row>
    <row r="1245" spans="1:13" ht="85.5">
      <c r="A1245" s="199">
        <v>1244</v>
      </c>
      <c r="B1245" s="199" t="s">
        <v>4564</v>
      </c>
      <c r="C1245" s="199" t="s">
        <v>34</v>
      </c>
      <c r="D1245" s="199" t="s">
        <v>35</v>
      </c>
      <c r="E1245" s="199">
        <v>16000</v>
      </c>
      <c r="F1245" s="199" t="s">
        <v>8</v>
      </c>
      <c r="G1245" s="199" t="s">
        <v>4472</v>
      </c>
      <c r="H1245" s="200">
        <v>12320</v>
      </c>
      <c r="I1245" s="199" t="s">
        <v>38</v>
      </c>
      <c r="J1245" s="199" t="s">
        <v>415</v>
      </c>
      <c r="K1245" s="201">
        <v>45413</v>
      </c>
      <c r="L1245" s="199" t="s">
        <v>3319</v>
      </c>
      <c r="M1245" s="199" t="s">
        <v>3320</v>
      </c>
    </row>
    <row r="1246" spans="1:13" ht="85.5">
      <c r="A1246" s="199">
        <v>1245</v>
      </c>
      <c r="B1246" s="199" t="s">
        <v>4565</v>
      </c>
      <c r="C1246" s="199" t="s">
        <v>34</v>
      </c>
      <c r="D1246" s="199" t="s">
        <v>35</v>
      </c>
      <c r="E1246" s="199">
        <v>18000</v>
      </c>
      <c r="F1246" s="199" t="s">
        <v>8</v>
      </c>
      <c r="G1246" s="199" t="s">
        <v>4472</v>
      </c>
      <c r="H1246" s="200">
        <v>10080</v>
      </c>
      <c r="I1246" s="199" t="s">
        <v>38</v>
      </c>
      <c r="J1246" s="199" t="s">
        <v>415</v>
      </c>
      <c r="K1246" s="201">
        <v>45413</v>
      </c>
      <c r="L1246" s="199" t="s">
        <v>3319</v>
      </c>
      <c r="M1246" s="199" t="s">
        <v>3320</v>
      </c>
    </row>
    <row r="1247" spans="1:13" ht="185.25">
      <c r="A1247" s="199">
        <v>1246</v>
      </c>
      <c r="B1247" s="199" t="s">
        <v>4566</v>
      </c>
      <c r="C1247" s="199" t="s">
        <v>34</v>
      </c>
      <c r="D1247" s="199" t="s">
        <v>35</v>
      </c>
      <c r="E1247" s="199">
        <v>400</v>
      </c>
      <c r="F1247" s="199" t="s">
        <v>591</v>
      </c>
      <c r="G1247" s="199" t="s">
        <v>4472</v>
      </c>
      <c r="H1247" s="200">
        <v>4488</v>
      </c>
      <c r="I1247" s="199" t="s">
        <v>38</v>
      </c>
      <c r="J1247" s="199" t="s">
        <v>415</v>
      </c>
      <c r="K1247" s="201">
        <v>45413</v>
      </c>
      <c r="L1247" s="199" t="s">
        <v>3319</v>
      </c>
      <c r="M1247" s="199" t="s">
        <v>3320</v>
      </c>
    </row>
    <row r="1248" spans="1:13" ht="85.5">
      <c r="A1248" s="199">
        <v>1247</v>
      </c>
      <c r="B1248" s="199" t="s">
        <v>4567</v>
      </c>
      <c r="C1248" s="199" t="s">
        <v>34</v>
      </c>
      <c r="D1248" s="199" t="s">
        <v>35</v>
      </c>
      <c r="E1248" s="199">
        <v>140000</v>
      </c>
      <c r="F1248" s="199" t="s">
        <v>8</v>
      </c>
      <c r="G1248" s="199" t="s">
        <v>4472</v>
      </c>
      <c r="H1248" s="200">
        <v>14000</v>
      </c>
      <c r="I1248" s="199" t="s">
        <v>38</v>
      </c>
      <c r="J1248" s="199" t="s">
        <v>415</v>
      </c>
      <c r="K1248" s="201">
        <v>45413</v>
      </c>
      <c r="L1248" s="199" t="s">
        <v>3319</v>
      </c>
      <c r="M1248" s="199" t="s">
        <v>3320</v>
      </c>
    </row>
    <row r="1249" spans="1:13" ht="142.5">
      <c r="A1249" s="199">
        <v>1248</v>
      </c>
      <c r="B1249" s="199" t="s">
        <v>4568</v>
      </c>
      <c r="C1249" s="199" t="s">
        <v>34</v>
      </c>
      <c r="D1249" s="199" t="s">
        <v>35</v>
      </c>
      <c r="E1249" s="199">
        <v>5000</v>
      </c>
      <c r="F1249" s="199" t="s">
        <v>8</v>
      </c>
      <c r="G1249" s="199" t="s">
        <v>4472</v>
      </c>
      <c r="H1249" s="200">
        <v>39600</v>
      </c>
      <c r="I1249" s="199" t="s">
        <v>38</v>
      </c>
      <c r="J1249" s="199" t="s">
        <v>415</v>
      </c>
      <c r="K1249" s="201">
        <v>45413</v>
      </c>
      <c r="L1249" s="199" t="s">
        <v>3319</v>
      </c>
      <c r="M1249" s="199" t="s">
        <v>3320</v>
      </c>
    </row>
    <row r="1250" spans="1:13" ht="85.5">
      <c r="A1250" s="199">
        <v>1249</v>
      </c>
      <c r="B1250" s="199" t="s">
        <v>4569</v>
      </c>
      <c r="C1250" s="199" t="s">
        <v>34</v>
      </c>
      <c r="D1250" s="199" t="s">
        <v>35</v>
      </c>
      <c r="E1250" s="199">
        <v>6000</v>
      </c>
      <c r="F1250" s="199" t="s">
        <v>8</v>
      </c>
      <c r="G1250" s="199" t="s">
        <v>4472</v>
      </c>
      <c r="H1250" s="200">
        <v>18600</v>
      </c>
      <c r="I1250" s="199" t="s">
        <v>38</v>
      </c>
      <c r="J1250" s="199" t="s">
        <v>415</v>
      </c>
      <c r="K1250" s="201">
        <v>45413</v>
      </c>
      <c r="L1250" s="199" t="s">
        <v>3319</v>
      </c>
      <c r="M1250" s="199" t="s">
        <v>3320</v>
      </c>
    </row>
    <row r="1251" spans="1:13" ht="85.5">
      <c r="A1251" s="199">
        <v>1250</v>
      </c>
      <c r="B1251" s="199" t="s">
        <v>4570</v>
      </c>
      <c r="C1251" s="199" t="s">
        <v>34</v>
      </c>
      <c r="D1251" s="199" t="s">
        <v>35</v>
      </c>
      <c r="E1251" s="199">
        <v>8000</v>
      </c>
      <c r="F1251" s="199" t="s">
        <v>8</v>
      </c>
      <c r="G1251" s="199" t="s">
        <v>4472</v>
      </c>
      <c r="H1251" s="200">
        <v>18240</v>
      </c>
      <c r="I1251" s="199" t="s">
        <v>38</v>
      </c>
      <c r="J1251" s="199" t="s">
        <v>415</v>
      </c>
      <c r="K1251" s="201">
        <v>45413</v>
      </c>
      <c r="L1251" s="199" t="s">
        <v>3319</v>
      </c>
      <c r="M1251" s="199" t="s">
        <v>3320</v>
      </c>
    </row>
    <row r="1252" spans="1:13" ht="85.5">
      <c r="A1252" s="199">
        <v>1251</v>
      </c>
      <c r="B1252" s="199" t="s">
        <v>4096</v>
      </c>
      <c r="C1252" s="199" t="s">
        <v>34</v>
      </c>
      <c r="D1252" s="199" t="s">
        <v>35</v>
      </c>
      <c r="E1252" s="199">
        <v>13000</v>
      </c>
      <c r="F1252" s="199" t="s">
        <v>8</v>
      </c>
      <c r="G1252" s="199" t="s">
        <v>4472</v>
      </c>
      <c r="H1252" s="200">
        <v>31590</v>
      </c>
      <c r="I1252" s="199" t="s">
        <v>38</v>
      </c>
      <c r="J1252" s="199" t="s">
        <v>415</v>
      </c>
      <c r="K1252" s="201">
        <v>45413</v>
      </c>
      <c r="L1252" s="199" t="s">
        <v>3319</v>
      </c>
      <c r="M1252" s="199" t="s">
        <v>3320</v>
      </c>
    </row>
    <row r="1253" spans="1:13" ht="85.5">
      <c r="A1253" s="199">
        <v>1252</v>
      </c>
      <c r="B1253" s="199" t="s">
        <v>4571</v>
      </c>
      <c r="C1253" s="199" t="s">
        <v>34</v>
      </c>
      <c r="D1253" s="199" t="s">
        <v>35</v>
      </c>
      <c r="E1253" s="199">
        <v>4000</v>
      </c>
      <c r="F1253" s="199" t="s">
        <v>8</v>
      </c>
      <c r="G1253" s="199" t="s">
        <v>4472</v>
      </c>
      <c r="H1253" s="200">
        <v>9000</v>
      </c>
      <c r="I1253" s="199" t="s">
        <v>38</v>
      </c>
      <c r="J1253" s="199" t="s">
        <v>415</v>
      </c>
      <c r="K1253" s="201">
        <v>45413</v>
      </c>
      <c r="L1253" s="199" t="s">
        <v>3319</v>
      </c>
      <c r="M1253" s="199" t="s">
        <v>3320</v>
      </c>
    </row>
    <row r="1254" spans="1:13" ht="156.75">
      <c r="A1254" s="199">
        <v>1253</v>
      </c>
      <c r="B1254" s="199" t="s">
        <v>4572</v>
      </c>
      <c r="C1254" s="199" t="s">
        <v>34</v>
      </c>
      <c r="D1254" s="199" t="s">
        <v>35</v>
      </c>
      <c r="E1254" s="199">
        <v>4000</v>
      </c>
      <c r="F1254" s="199" t="s">
        <v>679</v>
      </c>
      <c r="G1254" s="199" t="s">
        <v>4472</v>
      </c>
      <c r="H1254" s="200">
        <v>196480</v>
      </c>
      <c r="I1254" s="199" t="s">
        <v>38</v>
      </c>
      <c r="J1254" s="199" t="s">
        <v>415</v>
      </c>
      <c r="K1254" s="201">
        <v>45413</v>
      </c>
      <c r="L1254" s="199" t="s">
        <v>3319</v>
      </c>
      <c r="M1254" s="199" t="s">
        <v>3320</v>
      </c>
    </row>
    <row r="1255" spans="1:13" ht="114">
      <c r="A1255" s="199">
        <v>1254</v>
      </c>
      <c r="B1255" s="199" t="s">
        <v>4573</v>
      </c>
      <c r="C1255" s="199" t="s">
        <v>34</v>
      </c>
      <c r="D1255" s="199" t="s">
        <v>35</v>
      </c>
      <c r="E1255" s="199">
        <v>3750</v>
      </c>
      <c r="F1255" s="199" t="s">
        <v>679</v>
      </c>
      <c r="G1255" s="199" t="s">
        <v>4472</v>
      </c>
      <c r="H1255" s="200">
        <v>136275</v>
      </c>
      <c r="I1255" s="199" t="s">
        <v>38</v>
      </c>
      <c r="J1255" s="199" t="s">
        <v>415</v>
      </c>
      <c r="K1255" s="201">
        <v>45413</v>
      </c>
      <c r="L1255" s="199" t="s">
        <v>3319</v>
      </c>
      <c r="M1255" s="199" t="s">
        <v>3320</v>
      </c>
    </row>
    <row r="1256" spans="1:13" ht="114">
      <c r="A1256" s="199">
        <v>1255</v>
      </c>
      <c r="B1256" s="199" t="s">
        <v>4573</v>
      </c>
      <c r="C1256" s="199" t="s">
        <v>34</v>
      </c>
      <c r="D1256" s="199" t="s">
        <v>35</v>
      </c>
      <c r="E1256" s="199">
        <v>1250</v>
      </c>
      <c r="F1256" s="199" t="s">
        <v>679</v>
      </c>
      <c r="G1256" s="199" t="s">
        <v>4472</v>
      </c>
      <c r="H1256" s="200">
        <v>45425</v>
      </c>
      <c r="I1256" s="199" t="s">
        <v>38</v>
      </c>
      <c r="J1256" s="199" t="s">
        <v>415</v>
      </c>
      <c r="K1256" s="201">
        <v>45413</v>
      </c>
      <c r="L1256" s="199" t="s">
        <v>3319</v>
      </c>
      <c r="M1256" s="199" t="s">
        <v>3320</v>
      </c>
    </row>
    <row r="1257" spans="1:13" ht="114">
      <c r="A1257" s="199">
        <v>1256</v>
      </c>
      <c r="B1257" s="199" t="s">
        <v>4574</v>
      </c>
      <c r="C1257" s="199" t="s">
        <v>34</v>
      </c>
      <c r="D1257" s="199" t="s">
        <v>35</v>
      </c>
      <c r="E1257" s="199">
        <v>3000</v>
      </c>
      <c r="F1257" s="199" t="s">
        <v>679</v>
      </c>
      <c r="G1257" s="199" t="s">
        <v>4472</v>
      </c>
      <c r="H1257" s="200">
        <v>138060</v>
      </c>
      <c r="I1257" s="199" t="s">
        <v>38</v>
      </c>
      <c r="J1257" s="199" t="s">
        <v>415</v>
      </c>
      <c r="K1257" s="201">
        <v>45413</v>
      </c>
      <c r="L1257" s="199" t="s">
        <v>3319</v>
      </c>
      <c r="M1257" s="199" t="s">
        <v>3320</v>
      </c>
    </row>
    <row r="1258" spans="1:13" ht="114">
      <c r="A1258" s="199">
        <v>1257</v>
      </c>
      <c r="B1258" s="199" t="s">
        <v>4574</v>
      </c>
      <c r="C1258" s="199" t="s">
        <v>34</v>
      </c>
      <c r="D1258" s="199" t="s">
        <v>35</v>
      </c>
      <c r="E1258" s="199">
        <v>1000</v>
      </c>
      <c r="F1258" s="199" t="s">
        <v>679</v>
      </c>
      <c r="G1258" s="199" t="s">
        <v>4472</v>
      </c>
      <c r="H1258" s="200">
        <v>46020</v>
      </c>
      <c r="I1258" s="199" t="s">
        <v>38</v>
      </c>
      <c r="J1258" s="199" t="s">
        <v>415</v>
      </c>
      <c r="K1258" s="201">
        <v>45413</v>
      </c>
      <c r="L1258" s="199" t="s">
        <v>3319</v>
      </c>
      <c r="M1258" s="199" t="s">
        <v>3320</v>
      </c>
    </row>
    <row r="1259" spans="1:13" ht="85.5">
      <c r="A1259" s="199">
        <v>1258</v>
      </c>
      <c r="B1259" s="199" t="s">
        <v>4575</v>
      </c>
      <c r="C1259" s="199" t="s">
        <v>34</v>
      </c>
      <c r="D1259" s="199" t="s">
        <v>35</v>
      </c>
      <c r="E1259" s="199">
        <v>400</v>
      </c>
      <c r="F1259" s="199" t="s">
        <v>679</v>
      </c>
      <c r="G1259" s="199" t="s">
        <v>4472</v>
      </c>
      <c r="H1259" s="200">
        <v>27988</v>
      </c>
      <c r="I1259" s="199" t="s">
        <v>38</v>
      </c>
      <c r="J1259" s="199" t="s">
        <v>415</v>
      </c>
      <c r="K1259" s="201">
        <v>45413</v>
      </c>
      <c r="L1259" s="199" t="s">
        <v>3319</v>
      </c>
      <c r="M1259" s="199" t="s">
        <v>3320</v>
      </c>
    </row>
    <row r="1260" spans="1:13" ht="85.5">
      <c r="A1260" s="199">
        <v>1259</v>
      </c>
      <c r="B1260" s="199" t="s">
        <v>4576</v>
      </c>
      <c r="C1260" s="199" t="s">
        <v>34</v>
      </c>
      <c r="D1260" s="199" t="s">
        <v>35</v>
      </c>
      <c r="E1260" s="199">
        <v>400</v>
      </c>
      <c r="F1260" s="199" t="s">
        <v>679</v>
      </c>
      <c r="G1260" s="199" t="s">
        <v>4472</v>
      </c>
      <c r="H1260" s="200">
        <v>31860</v>
      </c>
      <c r="I1260" s="199" t="s">
        <v>38</v>
      </c>
      <c r="J1260" s="199" t="s">
        <v>415</v>
      </c>
      <c r="K1260" s="201">
        <v>45413</v>
      </c>
      <c r="L1260" s="199" t="s">
        <v>3319</v>
      </c>
      <c r="M1260" s="199" t="s">
        <v>3320</v>
      </c>
    </row>
    <row r="1261" spans="1:13" ht="85.5">
      <c r="A1261" s="199">
        <v>1260</v>
      </c>
      <c r="B1261" s="199" t="s">
        <v>4577</v>
      </c>
      <c r="C1261" s="199" t="s">
        <v>34</v>
      </c>
      <c r="D1261" s="199" t="s">
        <v>35</v>
      </c>
      <c r="E1261" s="199">
        <v>600</v>
      </c>
      <c r="F1261" s="199" t="s">
        <v>679</v>
      </c>
      <c r="G1261" s="199" t="s">
        <v>4472</v>
      </c>
      <c r="H1261" s="200">
        <v>41982</v>
      </c>
      <c r="I1261" s="199" t="s">
        <v>38</v>
      </c>
      <c r="J1261" s="199" t="s">
        <v>415</v>
      </c>
      <c r="K1261" s="201">
        <v>45413</v>
      </c>
      <c r="L1261" s="199" t="s">
        <v>3319</v>
      </c>
      <c r="M1261" s="199" t="s">
        <v>3320</v>
      </c>
    </row>
    <row r="1262" spans="1:13" ht="85.5">
      <c r="A1262" s="199">
        <v>1261</v>
      </c>
      <c r="B1262" s="199" t="s">
        <v>4578</v>
      </c>
      <c r="C1262" s="199" t="s">
        <v>34</v>
      </c>
      <c r="D1262" s="199" t="s">
        <v>35</v>
      </c>
      <c r="E1262" s="199">
        <v>6000</v>
      </c>
      <c r="F1262" s="199" t="s">
        <v>8</v>
      </c>
      <c r="G1262" s="199" t="s">
        <v>4472</v>
      </c>
      <c r="H1262" s="200">
        <v>12780</v>
      </c>
      <c r="I1262" s="199" t="s">
        <v>38</v>
      </c>
      <c r="J1262" s="199" t="s">
        <v>415</v>
      </c>
      <c r="K1262" s="201">
        <v>45413</v>
      </c>
      <c r="L1262" s="199" t="s">
        <v>3319</v>
      </c>
      <c r="M1262" s="199" t="s">
        <v>3320</v>
      </c>
    </row>
    <row r="1263" spans="1:13" ht="85.5">
      <c r="A1263" s="199">
        <v>1262</v>
      </c>
      <c r="B1263" s="199" t="s">
        <v>4579</v>
      </c>
      <c r="C1263" s="199" t="s">
        <v>34</v>
      </c>
      <c r="D1263" s="199" t="s">
        <v>35</v>
      </c>
      <c r="E1263" s="199">
        <v>240000</v>
      </c>
      <c r="F1263" s="199" t="s">
        <v>8</v>
      </c>
      <c r="G1263" s="199" t="s">
        <v>4472</v>
      </c>
      <c r="H1263" s="200">
        <v>57600</v>
      </c>
      <c r="I1263" s="199" t="s">
        <v>38</v>
      </c>
      <c r="J1263" s="199" t="s">
        <v>415</v>
      </c>
      <c r="K1263" s="201">
        <v>45413</v>
      </c>
      <c r="L1263" s="199" t="s">
        <v>3319</v>
      </c>
      <c r="M1263" s="199" t="s">
        <v>3320</v>
      </c>
    </row>
    <row r="1264" spans="1:13" ht="85.5">
      <c r="A1264" s="199">
        <v>1263</v>
      </c>
      <c r="B1264" s="199" t="s">
        <v>4579</v>
      </c>
      <c r="C1264" s="199" t="s">
        <v>34</v>
      </c>
      <c r="D1264" s="199" t="s">
        <v>35</v>
      </c>
      <c r="E1264" s="199">
        <v>80000</v>
      </c>
      <c r="F1264" s="199" t="s">
        <v>8</v>
      </c>
      <c r="G1264" s="199" t="s">
        <v>4472</v>
      </c>
      <c r="H1264" s="200">
        <v>19200</v>
      </c>
      <c r="I1264" s="199" t="s">
        <v>38</v>
      </c>
      <c r="J1264" s="199" t="s">
        <v>415</v>
      </c>
      <c r="K1264" s="201">
        <v>45413</v>
      </c>
      <c r="L1264" s="199" t="s">
        <v>3319</v>
      </c>
      <c r="M1264" s="199" t="s">
        <v>3320</v>
      </c>
    </row>
    <row r="1265" spans="1:13" ht="128.25">
      <c r="A1265" s="199">
        <v>1264</v>
      </c>
      <c r="B1265" s="199" t="s">
        <v>4580</v>
      </c>
      <c r="C1265" s="199" t="s">
        <v>34</v>
      </c>
      <c r="D1265" s="199" t="s">
        <v>35</v>
      </c>
      <c r="E1265" s="199">
        <v>1000</v>
      </c>
      <c r="F1265" s="199" t="s">
        <v>2378</v>
      </c>
      <c r="G1265" s="199" t="s">
        <v>4472</v>
      </c>
      <c r="H1265" s="200">
        <v>7720</v>
      </c>
      <c r="I1265" s="199" t="s">
        <v>38</v>
      </c>
      <c r="J1265" s="199" t="s">
        <v>415</v>
      </c>
      <c r="K1265" s="201">
        <v>45413</v>
      </c>
      <c r="L1265" s="199" t="s">
        <v>3319</v>
      </c>
      <c r="M1265" s="199" t="s">
        <v>3320</v>
      </c>
    </row>
    <row r="1266" spans="1:13" ht="85.5">
      <c r="A1266" s="199">
        <v>1265</v>
      </c>
      <c r="B1266" s="199" t="s">
        <v>4581</v>
      </c>
      <c r="C1266" s="199" t="s">
        <v>34</v>
      </c>
      <c r="D1266" s="199" t="s">
        <v>35</v>
      </c>
      <c r="E1266" s="199">
        <v>5000</v>
      </c>
      <c r="F1266" s="199" t="s">
        <v>8</v>
      </c>
      <c r="G1266" s="199" t="s">
        <v>4472</v>
      </c>
      <c r="H1266" s="200">
        <v>2000</v>
      </c>
      <c r="I1266" s="199" t="s">
        <v>38</v>
      </c>
      <c r="J1266" s="199" t="s">
        <v>415</v>
      </c>
      <c r="K1266" s="201">
        <v>45413</v>
      </c>
      <c r="L1266" s="199" t="s">
        <v>3319</v>
      </c>
      <c r="M1266" s="199" t="s">
        <v>3320</v>
      </c>
    </row>
    <row r="1267" spans="1:13" ht="85.5">
      <c r="A1267" s="199">
        <v>1266</v>
      </c>
      <c r="B1267" s="199" t="s">
        <v>4582</v>
      </c>
      <c r="C1267" s="199" t="s">
        <v>34</v>
      </c>
      <c r="D1267" s="199" t="s">
        <v>35</v>
      </c>
      <c r="E1267" s="199">
        <v>5000</v>
      </c>
      <c r="F1267" s="199" t="s">
        <v>8</v>
      </c>
      <c r="G1267" s="199" t="s">
        <v>4472</v>
      </c>
      <c r="H1267" s="200">
        <v>3750</v>
      </c>
      <c r="I1267" s="199" t="s">
        <v>38</v>
      </c>
      <c r="J1267" s="199" t="s">
        <v>415</v>
      </c>
      <c r="K1267" s="201">
        <v>45413</v>
      </c>
      <c r="L1267" s="199" t="s">
        <v>3319</v>
      </c>
      <c r="M1267" s="199" t="s">
        <v>3320</v>
      </c>
    </row>
    <row r="1268" spans="1:13" ht="85.5">
      <c r="A1268" s="199">
        <v>1267</v>
      </c>
      <c r="B1268" s="199" t="s">
        <v>4582</v>
      </c>
      <c r="C1268" s="199" t="s">
        <v>34</v>
      </c>
      <c r="D1268" s="199" t="s">
        <v>35</v>
      </c>
      <c r="E1268" s="199">
        <v>5000</v>
      </c>
      <c r="F1268" s="199" t="s">
        <v>8</v>
      </c>
      <c r="G1268" s="199" t="s">
        <v>4472</v>
      </c>
      <c r="H1268" s="200">
        <v>4300</v>
      </c>
      <c r="I1268" s="199" t="s">
        <v>38</v>
      </c>
      <c r="J1268" s="199" t="s">
        <v>415</v>
      </c>
      <c r="K1268" s="201">
        <v>45413</v>
      </c>
      <c r="L1268" s="199" t="s">
        <v>3319</v>
      </c>
      <c r="M1268" s="199" t="s">
        <v>3320</v>
      </c>
    </row>
    <row r="1269" spans="1:13" ht="242.25">
      <c r="A1269" s="199">
        <v>1268</v>
      </c>
      <c r="B1269" s="199" t="s">
        <v>4583</v>
      </c>
      <c r="C1269" s="199" t="s">
        <v>34</v>
      </c>
      <c r="D1269" s="199" t="s">
        <v>35</v>
      </c>
      <c r="E1269" s="199">
        <v>400</v>
      </c>
      <c r="F1269" s="199" t="s">
        <v>8</v>
      </c>
      <c r="G1269" s="199" t="s">
        <v>4472</v>
      </c>
      <c r="H1269" s="200">
        <v>32968</v>
      </c>
      <c r="I1269" s="199" t="s">
        <v>38</v>
      </c>
      <c r="J1269" s="199" t="s">
        <v>415</v>
      </c>
      <c r="K1269" s="201">
        <v>45413</v>
      </c>
      <c r="L1269" s="199" t="s">
        <v>3319</v>
      </c>
      <c r="M1269" s="199" t="s">
        <v>3320</v>
      </c>
    </row>
    <row r="1270" spans="1:13" ht="242.25">
      <c r="A1270" s="199">
        <v>1269</v>
      </c>
      <c r="B1270" s="199" t="s">
        <v>4584</v>
      </c>
      <c r="C1270" s="199" t="s">
        <v>34</v>
      </c>
      <c r="D1270" s="199" t="s">
        <v>35</v>
      </c>
      <c r="E1270" s="199">
        <v>400</v>
      </c>
      <c r="F1270" s="199" t="s">
        <v>8</v>
      </c>
      <c r="G1270" s="199" t="s">
        <v>4472</v>
      </c>
      <c r="H1270" s="200">
        <v>68756</v>
      </c>
      <c r="I1270" s="199" t="s">
        <v>38</v>
      </c>
      <c r="J1270" s="199" t="s">
        <v>415</v>
      </c>
      <c r="K1270" s="201">
        <v>45413</v>
      </c>
      <c r="L1270" s="199" t="s">
        <v>3319</v>
      </c>
      <c r="M1270" s="199" t="s">
        <v>3320</v>
      </c>
    </row>
    <row r="1271" spans="1:13" ht="242.25">
      <c r="A1271" s="199">
        <v>1270</v>
      </c>
      <c r="B1271" s="199" t="s">
        <v>4585</v>
      </c>
      <c r="C1271" s="199" t="s">
        <v>34</v>
      </c>
      <c r="D1271" s="199" t="s">
        <v>35</v>
      </c>
      <c r="E1271" s="199">
        <v>300</v>
      </c>
      <c r="F1271" s="199" t="s">
        <v>8</v>
      </c>
      <c r="G1271" s="199" t="s">
        <v>4472</v>
      </c>
      <c r="H1271" s="200">
        <v>74001</v>
      </c>
      <c r="I1271" s="199" t="s">
        <v>38</v>
      </c>
      <c r="J1271" s="199" t="s">
        <v>415</v>
      </c>
      <c r="K1271" s="201">
        <v>45413</v>
      </c>
      <c r="L1271" s="199" t="s">
        <v>3319</v>
      </c>
      <c r="M1271" s="199" t="s">
        <v>3320</v>
      </c>
    </row>
    <row r="1272" spans="1:13" ht="242.25">
      <c r="A1272" s="199">
        <v>1271</v>
      </c>
      <c r="B1272" s="199" t="s">
        <v>4585</v>
      </c>
      <c r="C1272" s="199" t="s">
        <v>34</v>
      </c>
      <c r="D1272" s="199" t="s">
        <v>35</v>
      </c>
      <c r="E1272" s="199">
        <v>100</v>
      </c>
      <c r="F1272" s="199" t="s">
        <v>8</v>
      </c>
      <c r="G1272" s="199" t="s">
        <v>4472</v>
      </c>
      <c r="H1272" s="200">
        <v>24667</v>
      </c>
      <c r="I1272" s="199" t="s">
        <v>38</v>
      </c>
      <c r="J1272" s="199" t="s">
        <v>415</v>
      </c>
      <c r="K1272" s="201">
        <v>45413</v>
      </c>
      <c r="L1272" s="199" t="s">
        <v>3319</v>
      </c>
      <c r="M1272" s="199" t="s">
        <v>3320</v>
      </c>
    </row>
    <row r="1273" spans="1:13" ht="114">
      <c r="A1273" s="199">
        <v>1272</v>
      </c>
      <c r="B1273" s="199" t="s">
        <v>4586</v>
      </c>
      <c r="C1273" s="199" t="s">
        <v>34</v>
      </c>
      <c r="D1273" s="199" t="s">
        <v>35</v>
      </c>
      <c r="E1273" s="199">
        <v>100</v>
      </c>
      <c r="F1273" s="199" t="s">
        <v>8</v>
      </c>
      <c r="G1273" s="199" t="s">
        <v>4472</v>
      </c>
      <c r="H1273" s="200">
        <v>16528</v>
      </c>
      <c r="I1273" s="199" t="s">
        <v>38</v>
      </c>
      <c r="J1273" s="199" t="s">
        <v>415</v>
      </c>
      <c r="K1273" s="201">
        <v>45413</v>
      </c>
      <c r="L1273" s="199" t="s">
        <v>3319</v>
      </c>
      <c r="M1273" s="199" t="s">
        <v>3320</v>
      </c>
    </row>
    <row r="1274" spans="1:13" ht="242.25">
      <c r="A1274" s="199">
        <v>1273</v>
      </c>
      <c r="B1274" s="199" t="s">
        <v>4587</v>
      </c>
      <c r="C1274" s="199" t="s">
        <v>34</v>
      </c>
      <c r="D1274" s="199" t="s">
        <v>35</v>
      </c>
      <c r="E1274" s="199">
        <v>100</v>
      </c>
      <c r="F1274" s="199" t="s">
        <v>8</v>
      </c>
      <c r="G1274" s="199" t="s">
        <v>4472</v>
      </c>
      <c r="H1274" s="200">
        <v>3676</v>
      </c>
      <c r="I1274" s="199" t="s">
        <v>38</v>
      </c>
      <c r="J1274" s="199" t="s">
        <v>415</v>
      </c>
      <c r="K1274" s="201">
        <v>45413</v>
      </c>
      <c r="L1274" s="199" t="s">
        <v>3319</v>
      </c>
      <c r="M1274" s="199" t="s">
        <v>3320</v>
      </c>
    </row>
    <row r="1275" spans="1:13" ht="185.25">
      <c r="A1275" s="199">
        <v>1274</v>
      </c>
      <c r="B1275" s="199" t="s">
        <v>4588</v>
      </c>
      <c r="C1275" s="199" t="s">
        <v>34</v>
      </c>
      <c r="D1275" s="199" t="s">
        <v>35</v>
      </c>
      <c r="E1275" s="199">
        <v>100</v>
      </c>
      <c r="F1275" s="199" t="s">
        <v>8</v>
      </c>
      <c r="G1275" s="199" t="s">
        <v>4472</v>
      </c>
      <c r="H1275" s="200">
        <v>7240</v>
      </c>
      <c r="I1275" s="199" t="s">
        <v>38</v>
      </c>
      <c r="J1275" s="199" t="s">
        <v>415</v>
      </c>
      <c r="K1275" s="201">
        <v>45413</v>
      </c>
      <c r="L1275" s="199" t="s">
        <v>3319</v>
      </c>
      <c r="M1275" s="199" t="s">
        <v>3320</v>
      </c>
    </row>
    <row r="1276" spans="1:13" ht="128.25">
      <c r="A1276" s="199">
        <v>1275</v>
      </c>
      <c r="B1276" s="199" t="s">
        <v>4589</v>
      </c>
      <c r="C1276" s="199" t="s">
        <v>34</v>
      </c>
      <c r="D1276" s="199" t="s">
        <v>35</v>
      </c>
      <c r="E1276" s="199">
        <v>100</v>
      </c>
      <c r="F1276" s="199" t="s">
        <v>8</v>
      </c>
      <c r="G1276" s="199" t="s">
        <v>4472</v>
      </c>
      <c r="H1276" s="200">
        <v>10957</v>
      </c>
      <c r="I1276" s="199" t="s">
        <v>38</v>
      </c>
      <c r="J1276" s="199" t="s">
        <v>415</v>
      </c>
      <c r="K1276" s="201">
        <v>45413</v>
      </c>
      <c r="L1276" s="199" t="s">
        <v>3319</v>
      </c>
      <c r="M1276" s="199" t="s">
        <v>3320</v>
      </c>
    </row>
    <row r="1277" spans="1:13" ht="199.5">
      <c r="A1277" s="199">
        <v>1276</v>
      </c>
      <c r="B1277" s="199" t="s">
        <v>4590</v>
      </c>
      <c r="C1277" s="199" t="s">
        <v>34</v>
      </c>
      <c r="D1277" s="199" t="s">
        <v>35</v>
      </c>
      <c r="E1277" s="199">
        <v>100</v>
      </c>
      <c r="F1277" s="199" t="s">
        <v>8</v>
      </c>
      <c r="G1277" s="199" t="s">
        <v>4472</v>
      </c>
      <c r="H1277" s="200">
        <v>9921</v>
      </c>
      <c r="I1277" s="199" t="s">
        <v>38</v>
      </c>
      <c r="J1277" s="199" t="s">
        <v>415</v>
      </c>
      <c r="K1277" s="201">
        <v>45413</v>
      </c>
      <c r="L1277" s="199" t="s">
        <v>3319</v>
      </c>
      <c r="M1277" s="199" t="s">
        <v>3320</v>
      </c>
    </row>
    <row r="1278" spans="1:13" ht="156.75">
      <c r="A1278" s="199">
        <v>1277</v>
      </c>
      <c r="B1278" s="199" t="s">
        <v>4591</v>
      </c>
      <c r="C1278" s="199" t="s">
        <v>34</v>
      </c>
      <c r="D1278" s="199" t="s">
        <v>35</v>
      </c>
      <c r="E1278" s="199">
        <v>35000</v>
      </c>
      <c r="F1278" s="199" t="s">
        <v>8</v>
      </c>
      <c r="G1278" s="199" t="s">
        <v>4472</v>
      </c>
      <c r="H1278" s="200">
        <v>25550</v>
      </c>
      <c r="I1278" s="199" t="s">
        <v>38</v>
      </c>
      <c r="J1278" s="199" t="s">
        <v>415</v>
      </c>
      <c r="K1278" s="201">
        <v>45413</v>
      </c>
      <c r="L1278" s="199" t="s">
        <v>3319</v>
      </c>
      <c r="M1278" s="199" t="s">
        <v>3320</v>
      </c>
    </row>
    <row r="1279" spans="1:13" ht="99.75">
      <c r="A1279" s="199">
        <v>1278</v>
      </c>
      <c r="B1279" s="199" t="s">
        <v>4592</v>
      </c>
      <c r="C1279" s="199" t="s">
        <v>34</v>
      </c>
      <c r="D1279" s="199" t="s">
        <v>35</v>
      </c>
      <c r="E1279" s="199">
        <v>150</v>
      </c>
      <c r="F1279" s="199" t="s">
        <v>591</v>
      </c>
      <c r="G1279" s="199" t="s">
        <v>4472</v>
      </c>
      <c r="H1279" s="200">
        <v>10398</v>
      </c>
      <c r="I1279" s="199" t="s">
        <v>38</v>
      </c>
      <c r="J1279" s="199" t="s">
        <v>415</v>
      </c>
      <c r="K1279" s="201">
        <v>45413</v>
      </c>
      <c r="L1279" s="199" t="s">
        <v>3319</v>
      </c>
      <c r="M1279" s="199" t="s">
        <v>3320</v>
      </c>
    </row>
    <row r="1280" spans="1:13" ht="99.75">
      <c r="A1280" s="199">
        <v>1279</v>
      </c>
      <c r="B1280" s="199" t="s">
        <v>4593</v>
      </c>
      <c r="C1280" s="199" t="s">
        <v>34</v>
      </c>
      <c r="D1280" s="199" t="s">
        <v>35</v>
      </c>
      <c r="E1280" s="199">
        <v>150</v>
      </c>
      <c r="F1280" s="199" t="s">
        <v>591</v>
      </c>
      <c r="G1280" s="199" t="s">
        <v>4472</v>
      </c>
      <c r="H1280" s="200">
        <v>5104.5</v>
      </c>
      <c r="I1280" s="199" t="s">
        <v>38</v>
      </c>
      <c r="J1280" s="199" t="s">
        <v>415</v>
      </c>
      <c r="K1280" s="201">
        <v>45413</v>
      </c>
      <c r="L1280" s="199" t="s">
        <v>3319</v>
      </c>
      <c r="M1280" s="199" t="s">
        <v>3320</v>
      </c>
    </row>
    <row r="1281" spans="1:13" ht="242.25">
      <c r="A1281" s="199">
        <v>1280</v>
      </c>
      <c r="B1281" s="199" t="s">
        <v>4594</v>
      </c>
      <c r="C1281" s="199" t="s">
        <v>34</v>
      </c>
      <c r="D1281" s="199" t="s">
        <v>35</v>
      </c>
      <c r="E1281" s="199">
        <v>3000</v>
      </c>
      <c r="F1281" s="199" t="s">
        <v>8</v>
      </c>
      <c r="G1281" s="199" t="s">
        <v>4472</v>
      </c>
      <c r="H1281" s="200">
        <v>1620</v>
      </c>
      <c r="I1281" s="199" t="s">
        <v>38</v>
      </c>
      <c r="J1281" s="199" t="s">
        <v>415</v>
      </c>
      <c r="K1281" s="201">
        <v>45413</v>
      </c>
      <c r="L1281" s="199" t="s">
        <v>3319</v>
      </c>
      <c r="M1281" s="199" t="s">
        <v>3320</v>
      </c>
    </row>
    <row r="1282" spans="1:13" ht="242.25">
      <c r="A1282" s="199">
        <v>1281</v>
      </c>
      <c r="B1282" s="199" t="s">
        <v>4595</v>
      </c>
      <c r="C1282" s="199" t="s">
        <v>34</v>
      </c>
      <c r="D1282" s="199" t="s">
        <v>35</v>
      </c>
      <c r="E1282" s="199">
        <v>3000</v>
      </c>
      <c r="F1282" s="199" t="s">
        <v>8</v>
      </c>
      <c r="G1282" s="199" t="s">
        <v>4472</v>
      </c>
      <c r="H1282" s="200">
        <v>1320</v>
      </c>
      <c r="I1282" s="199" t="s">
        <v>38</v>
      </c>
      <c r="J1282" s="199" t="s">
        <v>415</v>
      </c>
      <c r="K1282" s="201">
        <v>45413</v>
      </c>
      <c r="L1282" s="199" t="s">
        <v>3319</v>
      </c>
      <c r="M1282" s="199" t="s">
        <v>3320</v>
      </c>
    </row>
    <row r="1283" spans="1:13" ht="242.25">
      <c r="A1283" s="199">
        <v>1282</v>
      </c>
      <c r="B1283" s="199" t="s">
        <v>4596</v>
      </c>
      <c r="C1283" s="199" t="s">
        <v>34</v>
      </c>
      <c r="D1283" s="199" t="s">
        <v>35</v>
      </c>
      <c r="E1283" s="199">
        <v>3000</v>
      </c>
      <c r="F1283" s="199" t="s">
        <v>8</v>
      </c>
      <c r="G1283" s="199" t="s">
        <v>4472</v>
      </c>
      <c r="H1283" s="200">
        <v>1470</v>
      </c>
      <c r="I1283" s="199" t="s">
        <v>38</v>
      </c>
      <c r="J1283" s="199" t="s">
        <v>415</v>
      </c>
      <c r="K1283" s="201">
        <v>45413</v>
      </c>
      <c r="L1283" s="199" t="s">
        <v>3319</v>
      </c>
      <c r="M1283" s="199" t="s">
        <v>3320</v>
      </c>
    </row>
    <row r="1284" spans="1:13" ht="242.25">
      <c r="A1284" s="199">
        <v>1283</v>
      </c>
      <c r="B1284" s="199" t="s">
        <v>4597</v>
      </c>
      <c r="C1284" s="199" t="s">
        <v>34</v>
      </c>
      <c r="D1284" s="199" t="s">
        <v>35</v>
      </c>
      <c r="E1284" s="199">
        <v>3000</v>
      </c>
      <c r="F1284" s="199" t="s">
        <v>8</v>
      </c>
      <c r="G1284" s="199" t="s">
        <v>4472</v>
      </c>
      <c r="H1284" s="200">
        <v>1470</v>
      </c>
      <c r="I1284" s="199" t="s">
        <v>38</v>
      </c>
      <c r="J1284" s="199" t="s">
        <v>415</v>
      </c>
      <c r="K1284" s="201">
        <v>45413</v>
      </c>
      <c r="L1284" s="199" t="s">
        <v>3319</v>
      </c>
      <c r="M1284" s="199" t="s">
        <v>3320</v>
      </c>
    </row>
    <row r="1285" spans="1:13" ht="199.5">
      <c r="A1285" s="199">
        <v>1284</v>
      </c>
      <c r="B1285" s="199" t="s">
        <v>4598</v>
      </c>
      <c r="C1285" s="199" t="s">
        <v>34</v>
      </c>
      <c r="D1285" s="199" t="s">
        <v>35</v>
      </c>
      <c r="E1285" s="199">
        <v>75000</v>
      </c>
      <c r="F1285" s="199" t="s">
        <v>8</v>
      </c>
      <c r="G1285" s="199" t="s">
        <v>4472</v>
      </c>
      <c r="H1285" s="200">
        <v>90000</v>
      </c>
      <c r="I1285" s="199" t="s">
        <v>38</v>
      </c>
      <c r="J1285" s="199" t="s">
        <v>415</v>
      </c>
      <c r="K1285" s="201">
        <v>45413</v>
      </c>
      <c r="L1285" s="199" t="s">
        <v>3319</v>
      </c>
      <c r="M1285" s="199" t="s">
        <v>3320</v>
      </c>
    </row>
    <row r="1286" spans="1:13" ht="199.5">
      <c r="A1286" s="199">
        <v>1285</v>
      </c>
      <c r="B1286" s="199" t="s">
        <v>4598</v>
      </c>
      <c r="C1286" s="199" t="s">
        <v>34</v>
      </c>
      <c r="D1286" s="199" t="s">
        <v>35</v>
      </c>
      <c r="E1286" s="199">
        <v>25000</v>
      </c>
      <c r="F1286" s="199" t="s">
        <v>8</v>
      </c>
      <c r="G1286" s="199" t="s">
        <v>4472</v>
      </c>
      <c r="H1286" s="200">
        <v>30000</v>
      </c>
      <c r="I1286" s="199" t="s">
        <v>38</v>
      </c>
      <c r="J1286" s="199" t="s">
        <v>415</v>
      </c>
      <c r="K1286" s="201">
        <v>45413</v>
      </c>
      <c r="L1286" s="199" t="s">
        <v>3319</v>
      </c>
      <c r="M1286" s="199" t="s">
        <v>3320</v>
      </c>
    </row>
    <row r="1287" spans="1:13" ht="213.75">
      <c r="A1287" s="199">
        <v>1286</v>
      </c>
      <c r="B1287" s="199" t="s">
        <v>4599</v>
      </c>
      <c r="C1287" s="199" t="s">
        <v>34</v>
      </c>
      <c r="D1287" s="199" t="s">
        <v>35</v>
      </c>
      <c r="E1287" s="199">
        <v>10000</v>
      </c>
      <c r="F1287" s="199" t="s">
        <v>8</v>
      </c>
      <c r="G1287" s="199" t="s">
        <v>4472</v>
      </c>
      <c r="H1287" s="200">
        <v>17100</v>
      </c>
      <c r="I1287" s="199" t="s">
        <v>38</v>
      </c>
      <c r="J1287" s="199" t="s">
        <v>415</v>
      </c>
      <c r="K1287" s="201">
        <v>45413</v>
      </c>
      <c r="L1287" s="199" t="s">
        <v>3319</v>
      </c>
      <c r="M1287" s="199" t="s">
        <v>3320</v>
      </c>
    </row>
    <row r="1288" spans="1:13" ht="185.25">
      <c r="A1288" s="199">
        <v>1287</v>
      </c>
      <c r="B1288" s="199" t="s">
        <v>4600</v>
      </c>
      <c r="C1288" s="199" t="s">
        <v>34</v>
      </c>
      <c r="D1288" s="199" t="s">
        <v>35</v>
      </c>
      <c r="E1288" s="199">
        <v>10000</v>
      </c>
      <c r="F1288" s="199" t="s">
        <v>8</v>
      </c>
      <c r="G1288" s="199" t="s">
        <v>4472</v>
      </c>
      <c r="H1288" s="200">
        <v>6200</v>
      </c>
      <c r="I1288" s="199" t="s">
        <v>38</v>
      </c>
      <c r="J1288" s="199" t="s">
        <v>415</v>
      </c>
      <c r="K1288" s="201">
        <v>45413</v>
      </c>
      <c r="L1288" s="199" t="s">
        <v>3319</v>
      </c>
      <c r="M1288" s="199" t="s">
        <v>3320</v>
      </c>
    </row>
    <row r="1289" spans="1:13" ht="142.5">
      <c r="A1289" s="199">
        <v>1288</v>
      </c>
      <c r="B1289" s="199" t="s">
        <v>4601</v>
      </c>
      <c r="C1289" s="199" t="s">
        <v>34</v>
      </c>
      <c r="D1289" s="199" t="s">
        <v>35</v>
      </c>
      <c r="E1289" s="199">
        <v>25000</v>
      </c>
      <c r="F1289" s="199" t="s">
        <v>8</v>
      </c>
      <c r="G1289" s="199" t="s">
        <v>4472</v>
      </c>
      <c r="H1289" s="200">
        <v>14000</v>
      </c>
      <c r="I1289" s="199" t="s">
        <v>38</v>
      </c>
      <c r="J1289" s="199" t="s">
        <v>415</v>
      </c>
      <c r="K1289" s="201">
        <v>45413</v>
      </c>
      <c r="L1289" s="199" t="s">
        <v>3319</v>
      </c>
      <c r="M1289" s="199" t="s">
        <v>3320</v>
      </c>
    </row>
    <row r="1290" spans="1:13" ht="142.5">
      <c r="A1290" s="199">
        <v>1289</v>
      </c>
      <c r="B1290" s="199" t="s">
        <v>4602</v>
      </c>
      <c r="C1290" s="199" t="s">
        <v>34</v>
      </c>
      <c r="D1290" s="199" t="s">
        <v>35</v>
      </c>
      <c r="E1290" s="199">
        <v>25000</v>
      </c>
      <c r="F1290" s="199" t="s">
        <v>8</v>
      </c>
      <c r="G1290" s="199" t="s">
        <v>4472</v>
      </c>
      <c r="H1290" s="200">
        <v>21250</v>
      </c>
      <c r="I1290" s="199" t="s">
        <v>38</v>
      </c>
      <c r="J1290" s="199" t="s">
        <v>415</v>
      </c>
      <c r="K1290" s="201">
        <v>45413</v>
      </c>
      <c r="L1290" s="199" t="s">
        <v>3319</v>
      </c>
      <c r="M1290" s="199" t="s">
        <v>3320</v>
      </c>
    </row>
    <row r="1291" spans="1:13" ht="128.25">
      <c r="A1291" s="199">
        <v>1290</v>
      </c>
      <c r="B1291" s="199" t="s">
        <v>4603</v>
      </c>
      <c r="C1291" s="199" t="s">
        <v>34</v>
      </c>
      <c r="D1291" s="199" t="s">
        <v>35</v>
      </c>
      <c r="E1291" s="199">
        <v>25000</v>
      </c>
      <c r="F1291" s="199" t="s">
        <v>8</v>
      </c>
      <c r="G1291" s="199" t="s">
        <v>4472</v>
      </c>
      <c r="H1291" s="200">
        <v>7500</v>
      </c>
      <c r="I1291" s="199" t="s">
        <v>38</v>
      </c>
      <c r="J1291" s="199" t="s">
        <v>415</v>
      </c>
      <c r="K1291" s="201">
        <v>45413</v>
      </c>
      <c r="L1291" s="199" t="s">
        <v>3319</v>
      </c>
      <c r="M1291" s="199" t="s">
        <v>3320</v>
      </c>
    </row>
    <row r="1292" spans="1:13" ht="128.25">
      <c r="A1292" s="199">
        <v>1291</v>
      </c>
      <c r="B1292" s="199" t="s">
        <v>4604</v>
      </c>
      <c r="C1292" s="199" t="s">
        <v>34</v>
      </c>
      <c r="D1292" s="199" t="s">
        <v>35</v>
      </c>
      <c r="E1292" s="199">
        <v>25000</v>
      </c>
      <c r="F1292" s="199" t="s">
        <v>8</v>
      </c>
      <c r="G1292" s="199" t="s">
        <v>4472</v>
      </c>
      <c r="H1292" s="200">
        <v>8250</v>
      </c>
      <c r="I1292" s="199" t="s">
        <v>38</v>
      </c>
      <c r="J1292" s="199" t="s">
        <v>415</v>
      </c>
      <c r="K1292" s="201">
        <v>45413</v>
      </c>
      <c r="L1292" s="199" t="s">
        <v>3319</v>
      </c>
      <c r="M1292" s="199" t="s">
        <v>3320</v>
      </c>
    </row>
    <row r="1293" spans="1:13" ht="85.5">
      <c r="A1293" s="199">
        <v>1292</v>
      </c>
      <c r="B1293" s="199" t="s">
        <v>4605</v>
      </c>
      <c r="C1293" s="199" t="s">
        <v>34</v>
      </c>
      <c r="D1293" s="199" t="s">
        <v>35</v>
      </c>
      <c r="E1293" s="199">
        <v>4000</v>
      </c>
      <c r="F1293" s="199" t="s">
        <v>8</v>
      </c>
      <c r="G1293" s="199" t="s">
        <v>4472</v>
      </c>
      <c r="H1293" s="200">
        <v>3960</v>
      </c>
      <c r="I1293" s="199" t="s">
        <v>38</v>
      </c>
      <c r="J1293" s="199" t="s">
        <v>415</v>
      </c>
      <c r="K1293" s="201">
        <v>45413</v>
      </c>
      <c r="L1293" s="199" t="s">
        <v>3319</v>
      </c>
      <c r="M1293" s="199" t="s">
        <v>3320</v>
      </c>
    </row>
    <row r="1294" spans="1:13" ht="185.25">
      <c r="A1294" s="199">
        <v>1293</v>
      </c>
      <c r="B1294" s="199" t="s">
        <v>4606</v>
      </c>
      <c r="C1294" s="199" t="s">
        <v>34</v>
      </c>
      <c r="D1294" s="199" t="s">
        <v>35</v>
      </c>
      <c r="E1294" s="199">
        <v>100</v>
      </c>
      <c r="F1294" s="199" t="s">
        <v>8</v>
      </c>
      <c r="G1294" s="199" t="s">
        <v>4472</v>
      </c>
      <c r="H1294" s="200">
        <v>527</v>
      </c>
      <c r="I1294" s="199" t="s">
        <v>38</v>
      </c>
      <c r="J1294" s="199" t="s">
        <v>415</v>
      </c>
      <c r="K1294" s="201">
        <v>45413</v>
      </c>
      <c r="L1294" s="199" t="s">
        <v>3319</v>
      </c>
      <c r="M1294" s="199" t="s">
        <v>3320</v>
      </c>
    </row>
    <row r="1295" spans="1:13" ht="128.25">
      <c r="A1295" s="199">
        <v>1294</v>
      </c>
      <c r="B1295" s="199" t="s">
        <v>4607</v>
      </c>
      <c r="C1295" s="199" t="s">
        <v>34</v>
      </c>
      <c r="D1295" s="199" t="s">
        <v>35</v>
      </c>
      <c r="E1295" s="199">
        <v>100</v>
      </c>
      <c r="F1295" s="199" t="s">
        <v>8</v>
      </c>
      <c r="G1295" s="199" t="s">
        <v>4472</v>
      </c>
      <c r="H1295" s="200">
        <v>450</v>
      </c>
      <c r="I1295" s="199" t="s">
        <v>38</v>
      </c>
      <c r="J1295" s="199" t="s">
        <v>415</v>
      </c>
      <c r="K1295" s="201">
        <v>45413</v>
      </c>
      <c r="L1295" s="199" t="s">
        <v>3319</v>
      </c>
      <c r="M1295" s="199" t="s">
        <v>3320</v>
      </c>
    </row>
    <row r="1296" spans="1:13" ht="85.5">
      <c r="A1296" s="199">
        <v>1295</v>
      </c>
      <c r="B1296" s="199" t="s">
        <v>4608</v>
      </c>
      <c r="C1296" s="199" t="s">
        <v>34</v>
      </c>
      <c r="D1296" s="199" t="s">
        <v>35</v>
      </c>
      <c r="E1296" s="199">
        <v>200</v>
      </c>
      <c r="F1296" s="199" t="s">
        <v>8</v>
      </c>
      <c r="G1296" s="199" t="s">
        <v>4472</v>
      </c>
      <c r="H1296" s="200">
        <v>1424</v>
      </c>
      <c r="I1296" s="199" t="s">
        <v>38</v>
      </c>
      <c r="J1296" s="199" t="s">
        <v>415</v>
      </c>
      <c r="K1296" s="201">
        <v>45413</v>
      </c>
      <c r="L1296" s="199" t="s">
        <v>3319</v>
      </c>
      <c r="M1296" s="199" t="s">
        <v>3320</v>
      </c>
    </row>
    <row r="1297" spans="1:13" ht="85.5">
      <c r="A1297" s="199">
        <v>1296</v>
      </c>
      <c r="B1297" s="199" t="s">
        <v>4609</v>
      </c>
      <c r="C1297" s="199" t="s">
        <v>34</v>
      </c>
      <c r="D1297" s="199" t="s">
        <v>35</v>
      </c>
      <c r="E1297" s="199">
        <v>200</v>
      </c>
      <c r="F1297" s="199" t="s">
        <v>8</v>
      </c>
      <c r="G1297" s="199" t="s">
        <v>4472</v>
      </c>
      <c r="H1297" s="200">
        <v>2704</v>
      </c>
      <c r="I1297" s="199" t="s">
        <v>38</v>
      </c>
      <c r="J1297" s="199" t="s">
        <v>415</v>
      </c>
      <c r="K1297" s="201">
        <v>45413</v>
      </c>
      <c r="L1297" s="199" t="s">
        <v>3319</v>
      </c>
      <c r="M1297" s="199" t="s">
        <v>3320</v>
      </c>
    </row>
    <row r="1298" spans="1:13" ht="85.5">
      <c r="A1298" s="199">
        <v>1297</v>
      </c>
      <c r="B1298" s="199" t="s">
        <v>4610</v>
      </c>
      <c r="C1298" s="199" t="s">
        <v>34</v>
      </c>
      <c r="D1298" s="199" t="s">
        <v>35</v>
      </c>
      <c r="E1298" s="199">
        <v>200</v>
      </c>
      <c r="F1298" s="199" t="s">
        <v>8</v>
      </c>
      <c r="G1298" s="199" t="s">
        <v>4472</v>
      </c>
      <c r="H1298" s="200">
        <v>2450</v>
      </c>
      <c r="I1298" s="199" t="s">
        <v>38</v>
      </c>
      <c r="J1298" s="199" t="s">
        <v>415</v>
      </c>
      <c r="K1298" s="201">
        <v>45413</v>
      </c>
      <c r="L1298" s="199" t="s">
        <v>3319</v>
      </c>
      <c r="M1298" s="199" t="s">
        <v>3320</v>
      </c>
    </row>
    <row r="1299" spans="1:13" ht="85.5">
      <c r="A1299" s="199">
        <v>1298</v>
      </c>
      <c r="B1299" s="199" t="s">
        <v>4611</v>
      </c>
      <c r="C1299" s="199" t="s">
        <v>34</v>
      </c>
      <c r="D1299" s="199" t="s">
        <v>35</v>
      </c>
      <c r="E1299" s="199">
        <v>400</v>
      </c>
      <c r="F1299" s="199" t="s">
        <v>8</v>
      </c>
      <c r="G1299" s="199" t="s">
        <v>4472</v>
      </c>
      <c r="H1299" s="200">
        <v>4372</v>
      </c>
      <c r="I1299" s="199" t="s">
        <v>38</v>
      </c>
      <c r="J1299" s="199" t="s">
        <v>415</v>
      </c>
      <c r="K1299" s="201">
        <v>45413</v>
      </c>
      <c r="L1299" s="199" t="s">
        <v>3319</v>
      </c>
      <c r="M1299" s="199" t="s">
        <v>3320</v>
      </c>
    </row>
    <row r="1300" spans="1:13" ht="85.5">
      <c r="A1300" s="199">
        <v>1299</v>
      </c>
      <c r="B1300" s="199" t="s">
        <v>4612</v>
      </c>
      <c r="C1300" s="199" t="s">
        <v>34</v>
      </c>
      <c r="D1300" s="199" t="s">
        <v>35</v>
      </c>
      <c r="E1300" s="199">
        <v>400</v>
      </c>
      <c r="F1300" s="199" t="s">
        <v>8</v>
      </c>
      <c r="G1300" s="199" t="s">
        <v>4472</v>
      </c>
      <c r="H1300" s="200">
        <v>4980</v>
      </c>
      <c r="I1300" s="199" t="s">
        <v>38</v>
      </c>
      <c r="J1300" s="199" t="s">
        <v>415</v>
      </c>
      <c r="K1300" s="201">
        <v>45413</v>
      </c>
      <c r="L1300" s="199" t="s">
        <v>3319</v>
      </c>
      <c r="M1300" s="199" t="s">
        <v>3320</v>
      </c>
    </row>
    <row r="1301" spans="1:13" ht="85.5">
      <c r="A1301" s="199">
        <v>1300</v>
      </c>
      <c r="B1301" s="199" t="s">
        <v>4613</v>
      </c>
      <c r="C1301" s="199" t="s">
        <v>34</v>
      </c>
      <c r="D1301" s="199" t="s">
        <v>35</v>
      </c>
      <c r="E1301" s="199">
        <v>400</v>
      </c>
      <c r="F1301" s="199" t="s">
        <v>8</v>
      </c>
      <c r="G1301" s="199" t="s">
        <v>4472</v>
      </c>
      <c r="H1301" s="200">
        <v>2524</v>
      </c>
      <c r="I1301" s="199" t="s">
        <v>38</v>
      </c>
      <c r="J1301" s="199" t="s">
        <v>415</v>
      </c>
      <c r="K1301" s="201">
        <v>45413</v>
      </c>
      <c r="L1301" s="199" t="s">
        <v>3319</v>
      </c>
      <c r="M1301" s="199" t="s">
        <v>3320</v>
      </c>
    </row>
    <row r="1302" spans="1:13" ht="85.5">
      <c r="A1302" s="199">
        <v>1301</v>
      </c>
      <c r="B1302" s="199" t="s">
        <v>4614</v>
      </c>
      <c r="C1302" s="199" t="s">
        <v>34</v>
      </c>
      <c r="D1302" s="199" t="s">
        <v>35</v>
      </c>
      <c r="E1302" s="199">
        <v>400</v>
      </c>
      <c r="F1302" s="199" t="s">
        <v>8</v>
      </c>
      <c r="G1302" s="199" t="s">
        <v>4472</v>
      </c>
      <c r="H1302" s="200">
        <v>6644</v>
      </c>
      <c r="I1302" s="199" t="s">
        <v>38</v>
      </c>
      <c r="J1302" s="199" t="s">
        <v>415</v>
      </c>
      <c r="K1302" s="201">
        <v>45413</v>
      </c>
      <c r="L1302" s="199" t="s">
        <v>3319</v>
      </c>
      <c r="M1302" s="199" t="s">
        <v>3320</v>
      </c>
    </row>
    <row r="1303" spans="1:13" ht="85.5">
      <c r="A1303" s="199">
        <v>1302</v>
      </c>
      <c r="B1303" s="199" t="s">
        <v>4615</v>
      </c>
      <c r="C1303" s="199" t="s">
        <v>34</v>
      </c>
      <c r="D1303" s="199" t="s">
        <v>35</v>
      </c>
      <c r="E1303" s="199">
        <v>1000</v>
      </c>
      <c r="F1303" s="199" t="s">
        <v>8</v>
      </c>
      <c r="G1303" s="199" t="s">
        <v>4472</v>
      </c>
      <c r="H1303" s="200">
        <v>22070</v>
      </c>
      <c r="I1303" s="199" t="s">
        <v>38</v>
      </c>
      <c r="J1303" s="199" t="s">
        <v>415</v>
      </c>
      <c r="K1303" s="201">
        <v>45413</v>
      </c>
      <c r="L1303" s="199" t="s">
        <v>3319</v>
      </c>
      <c r="M1303" s="199" t="s">
        <v>3320</v>
      </c>
    </row>
    <row r="1304" spans="1:13" ht="85.5">
      <c r="A1304" s="199">
        <v>1303</v>
      </c>
      <c r="B1304" s="199" t="s">
        <v>4616</v>
      </c>
      <c r="C1304" s="199" t="s">
        <v>34</v>
      </c>
      <c r="D1304" s="199" t="s">
        <v>35</v>
      </c>
      <c r="E1304" s="199">
        <v>1000</v>
      </c>
      <c r="F1304" s="199" t="s">
        <v>8</v>
      </c>
      <c r="G1304" s="199" t="s">
        <v>4472</v>
      </c>
      <c r="H1304" s="200">
        <v>22070</v>
      </c>
      <c r="I1304" s="199" t="s">
        <v>38</v>
      </c>
      <c r="J1304" s="199" t="s">
        <v>415</v>
      </c>
      <c r="K1304" s="201">
        <v>45413</v>
      </c>
      <c r="L1304" s="199" t="s">
        <v>3319</v>
      </c>
      <c r="M1304" s="199" t="s">
        <v>3320</v>
      </c>
    </row>
    <row r="1305" spans="1:13" ht="85.5">
      <c r="A1305" s="199">
        <v>1304</v>
      </c>
      <c r="B1305" s="199" t="s">
        <v>4617</v>
      </c>
      <c r="C1305" s="199" t="s">
        <v>34</v>
      </c>
      <c r="D1305" s="199" t="s">
        <v>35</v>
      </c>
      <c r="E1305" s="199">
        <v>1000</v>
      </c>
      <c r="F1305" s="199" t="s">
        <v>8</v>
      </c>
      <c r="G1305" s="199" t="s">
        <v>4472</v>
      </c>
      <c r="H1305" s="200">
        <v>22070</v>
      </c>
      <c r="I1305" s="199" t="s">
        <v>38</v>
      </c>
      <c r="J1305" s="199" t="s">
        <v>415</v>
      </c>
      <c r="K1305" s="201">
        <v>45413</v>
      </c>
      <c r="L1305" s="199" t="s">
        <v>3319</v>
      </c>
      <c r="M1305" s="199" t="s">
        <v>3320</v>
      </c>
    </row>
    <row r="1306" spans="1:13" ht="85.5">
      <c r="A1306" s="199">
        <v>1305</v>
      </c>
      <c r="B1306" s="199" t="s">
        <v>4618</v>
      </c>
      <c r="C1306" s="199" t="s">
        <v>34</v>
      </c>
      <c r="D1306" s="199" t="s">
        <v>35</v>
      </c>
      <c r="E1306" s="199">
        <v>5000</v>
      </c>
      <c r="F1306" s="199" t="s">
        <v>8</v>
      </c>
      <c r="G1306" s="199" t="s">
        <v>4472</v>
      </c>
      <c r="H1306" s="200">
        <v>4950</v>
      </c>
      <c r="I1306" s="199" t="s">
        <v>38</v>
      </c>
      <c r="J1306" s="199" t="s">
        <v>415</v>
      </c>
      <c r="K1306" s="201">
        <v>45413</v>
      </c>
      <c r="L1306" s="199" t="s">
        <v>3319</v>
      </c>
      <c r="M1306" s="199" t="s">
        <v>3320</v>
      </c>
    </row>
    <row r="1307" spans="1:13" ht="85.5">
      <c r="A1307" s="199">
        <v>1306</v>
      </c>
      <c r="B1307" s="199" t="s">
        <v>4619</v>
      </c>
      <c r="C1307" s="199" t="s">
        <v>34</v>
      </c>
      <c r="D1307" s="199" t="s">
        <v>35</v>
      </c>
      <c r="E1307" s="199">
        <v>8000</v>
      </c>
      <c r="F1307" s="199" t="s">
        <v>8</v>
      </c>
      <c r="G1307" s="199" t="s">
        <v>4472</v>
      </c>
      <c r="H1307" s="200">
        <v>8240</v>
      </c>
      <c r="I1307" s="199" t="s">
        <v>38</v>
      </c>
      <c r="J1307" s="199" t="s">
        <v>415</v>
      </c>
      <c r="K1307" s="201">
        <v>45413</v>
      </c>
      <c r="L1307" s="199" t="s">
        <v>3319</v>
      </c>
      <c r="M1307" s="199" t="s">
        <v>3320</v>
      </c>
    </row>
    <row r="1308" spans="1:13" ht="85.5">
      <c r="A1308" s="199">
        <v>1307</v>
      </c>
      <c r="B1308" s="199" t="s">
        <v>4620</v>
      </c>
      <c r="C1308" s="199" t="s">
        <v>34</v>
      </c>
      <c r="D1308" s="199" t="s">
        <v>35</v>
      </c>
      <c r="E1308" s="199">
        <v>4000</v>
      </c>
      <c r="F1308" s="199" t="s">
        <v>8</v>
      </c>
      <c r="G1308" s="199" t="s">
        <v>4472</v>
      </c>
      <c r="H1308" s="200">
        <v>4920</v>
      </c>
      <c r="I1308" s="199" t="s">
        <v>38</v>
      </c>
      <c r="J1308" s="199" t="s">
        <v>415</v>
      </c>
      <c r="K1308" s="201">
        <v>45413</v>
      </c>
      <c r="L1308" s="199" t="s">
        <v>3319</v>
      </c>
      <c r="M1308" s="199" t="s">
        <v>3320</v>
      </c>
    </row>
    <row r="1309" spans="1:13" ht="85.5">
      <c r="A1309" s="199">
        <v>1308</v>
      </c>
      <c r="B1309" s="199" t="s">
        <v>4621</v>
      </c>
      <c r="C1309" s="199" t="s">
        <v>34</v>
      </c>
      <c r="D1309" s="199" t="s">
        <v>35</v>
      </c>
      <c r="E1309" s="199">
        <v>5000</v>
      </c>
      <c r="F1309" s="199" t="s">
        <v>8</v>
      </c>
      <c r="G1309" s="199" t="s">
        <v>4472</v>
      </c>
      <c r="H1309" s="200">
        <v>6450</v>
      </c>
      <c r="I1309" s="199" t="s">
        <v>38</v>
      </c>
      <c r="J1309" s="199" t="s">
        <v>415</v>
      </c>
      <c r="K1309" s="201">
        <v>45413</v>
      </c>
      <c r="L1309" s="199" t="s">
        <v>3319</v>
      </c>
      <c r="M1309" s="199" t="s">
        <v>3320</v>
      </c>
    </row>
    <row r="1310" spans="1:13" ht="85.5">
      <c r="A1310" s="199">
        <v>1309</v>
      </c>
      <c r="B1310" s="199" t="s">
        <v>4622</v>
      </c>
      <c r="C1310" s="199" t="s">
        <v>34</v>
      </c>
      <c r="D1310" s="199" t="s">
        <v>35</v>
      </c>
      <c r="E1310" s="199">
        <v>5000</v>
      </c>
      <c r="F1310" s="199" t="s">
        <v>8</v>
      </c>
      <c r="G1310" s="199" t="s">
        <v>4472</v>
      </c>
      <c r="H1310" s="200">
        <v>5650</v>
      </c>
      <c r="I1310" s="199" t="s">
        <v>38</v>
      </c>
      <c r="J1310" s="199" t="s">
        <v>415</v>
      </c>
      <c r="K1310" s="201">
        <v>45413</v>
      </c>
      <c r="L1310" s="199" t="s">
        <v>3319</v>
      </c>
      <c r="M1310" s="199" t="s">
        <v>3320</v>
      </c>
    </row>
    <row r="1311" spans="1:13" ht="85.5">
      <c r="A1311" s="199">
        <v>1310</v>
      </c>
      <c r="B1311" s="199" t="s">
        <v>4623</v>
      </c>
      <c r="C1311" s="199" t="s">
        <v>34</v>
      </c>
      <c r="D1311" s="199" t="s">
        <v>35</v>
      </c>
      <c r="E1311" s="199">
        <v>6000</v>
      </c>
      <c r="F1311" s="199" t="s">
        <v>8</v>
      </c>
      <c r="G1311" s="199" t="s">
        <v>4472</v>
      </c>
      <c r="H1311" s="200">
        <v>6420</v>
      </c>
      <c r="I1311" s="199" t="s">
        <v>38</v>
      </c>
      <c r="J1311" s="199" t="s">
        <v>415</v>
      </c>
      <c r="K1311" s="201">
        <v>45413</v>
      </c>
      <c r="L1311" s="199" t="s">
        <v>3319</v>
      </c>
      <c r="M1311" s="199" t="s">
        <v>3320</v>
      </c>
    </row>
    <row r="1312" spans="1:13" ht="85.5">
      <c r="A1312" s="199">
        <v>1311</v>
      </c>
      <c r="B1312" s="199" t="s">
        <v>4624</v>
      </c>
      <c r="C1312" s="199" t="s">
        <v>34</v>
      </c>
      <c r="D1312" s="199" t="s">
        <v>35</v>
      </c>
      <c r="E1312" s="199">
        <v>10000</v>
      </c>
      <c r="F1312" s="199" t="s">
        <v>8</v>
      </c>
      <c r="G1312" s="199" t="s">
        <v>4472</v>
      </c>
      <c r="H1312" s="200">
        <v>11200</v>
      </c>
      <c r="I1312" s="199" t="s">
        <v>38</v>
      </c>
      <c r="J1312" s="199" t="s">
        <v>415</v>
      </c>
      <c r="K1312" s="201">
        <v>45413</v>
      </c>
      <c r="L1312" s="199" t="s">
        <v>3319</v>
      </c>
      <c r="M1312" s="199" t="s">
        <v>3320</v>
      </c>
    </row>
    <row r="1313" spans="1:13" ht="85.5">
      <c r="A1313" s="199">
        <v>1312</v>
      </c>
      <c r="B1313" s="199" t="s">
        <v>4625</v>
      </c>
      <c r="C1313" s="199" t="s">
        <v>34</v>
      </c>
      <c r="D1313" s="199" t="s">
        <v>35</v>
      </c>
      <c r="E1313" s="199">
        <v>42000</v>
      </c>
      <c r="F1313" s="199" t="s">
        <v>8</v>
      </c>
      <c r="G1313" s="199" t="s">
        <v>4472</v>
      </c>
      <c r="H1313" s="200">
        <v>46620</v>
      </c>
      <c r="I1313" s="199" t="s">
        <v>38</v>
      </c>
      <c r="J1313" s="199" t="s">
        <v>415</v>
      </c>
      <c r="K1313" s="201">
        <v>45413</v>
      </c>
      <c r="L1313" s="199" t="s">
        <v>3319</v>
      </c>
      <c r="M1313" s="199" t="s">
        <v>3320</v>
      </c>
    </row>
    <row r="1314" spans="1:13" ht="85.5">
      <c r="A1314" s="199">
        <v>1313</v>
      </c>
      <c r="B1314" s="199" t="s">
        <v>4626</v>
      </c>
      <c r="C1314" s="199" t="s">
        <v>34</v>
      </c>
      <c r="D1314" s="199" t="s">
        <v>35</v>
      </c>
      <c r="E1314" s="199">
        <v>42000</v>
      </c>
      <c r="F1314" s="199" t="s">
        <v>8</v>
      </c>
      <c r="G1314" s="199" t="s">
        <v>4472</v>
      </c>
      <c r="H1314" s="200">
        <v>47460</v>
      </c>
      <c r="I1314" s="199" t="s">
        <v>38</v>
      </c>
      <c r="J1314" s="199" t="s">
        <v>415</v>
      </c>
      <c r="K1314" s="201">
        <v>45413</v>
      </c>
      <c r="L1314" s="199" t="s">
        <v>3319</v>
      </c>
      <c r="M1314" s="199" t="s">
        <v>3320</v>
      </c>
    </row>
    <row r="1315" spans="1:13" ht="85.5">
      <c r="A1315" s="199">
        <v>1314</v>
      </c>
      <c r="B1315" s="199" t="s">
        <v>4627</v>
      </c>
      <c r="C1315" s="199" t="s">
        <v>34</v>
      </c>
      <c r="D1315" s="199" t="s">
        <v>35</v>
      </c>
      <c r="E1315" s="199">
        <v>75</v>
      </c>
      <c r="F1315" s="199" t="s">
        <v>8</v>
      </c>
      <c r="G1315" s="199" t="s">
        <v>4472</v>
      </c>
      <c r="H1315" s="200">
        <v>3270</v>
      </c>
      <c r="I1315" s="199" t="s">
        <v>38</v>
      </c>
      <c r="J1315" s="199" t="s">
        <v>415</v>
      </c>
      <c r="K1315" s="201">
        <v>45413</v>
      </c>
      <c r="L1315" s="199" t="s">
        <v>3319</v>
      </c>
      <c r="M1315" s="199" t="s">
        <v>3320</v>
      </c>
    </row>
    <row r="1316" spans="1:13" ht="85.5">
      <c r="A1316" s="199">
        <v>1315</v>
      </c>
      <c r="B1316" s="199" t="s">
        <v>4628</v>
      </c>
      <c r="C1316" s="199" t="s">
        <v>34</v>
      </c>
      <c r="D1316" s="199" t="s">
        <v>35</v>
      </c>
      <c r="E1316" s="199">
        <v>80</v>
      </c>
      <c r="F1316" s="199" t="s">
        <v>8</v>
      </c>
      <c r="G1316" s="199" t="s">
        <v>4472</v>
      </c>
      <c r="H1316" s="200">
        <v>3124.8</v>
      </c>
      <c r="I1316" s="199" t="s">
        <v>38</v>
      </c>
      <c r="J1316" s="199" t="s">
        <v>415</v>
      </c>
      <c r="K1316" s="201">
        <v>45413</v>
      </c>
      <c r="L1316" s="199" t="s">
        <v>3319</v>
      </c>
      <c r="M1316" s="199" t="s">
        <v>3320</v>
      </c>
    </row>
    <row r="1317" spans="1:13" ht="85.5">
      <c r="A1317" s="199">
        <v>1316</v>
      </c>
      <c r="B1317" s="199" t="s">
        <v>4629</v>
      </c>
      <c r="C1317" s="199" t="s">
        <v>34</v>
      </c>
      <c r="D1317" s="199" t="s">
        <v>35</v>
      </c>
      <c r="E1317" s="199">
        <v>80</v>
      </c>
      <c r="F1317" s="199" t="s">
        <v>8</v>
      </c>
      <c r="G1317" s="199" t="s">
        <v>4472</v>
      </c>
      <c r="H1317" s="200">
        <v>2985.6</v>
      </c>
      <c r="I1317" s="199" t="s">
        <v>38</v>
      </c>
      <c r="J1317" s="199" t="s">
        <v>415</v>
      </c>
      <c r="K1317" s="201">
        <v>45413</v>
      </c>
      <c r="L1317" s="199" t="s">
        <v>3319</v>
      </c>
      <c r="M1317" s="199" t="s">
        <v>3320</v>
      </c>
    </row>
    <row r="1318" spans="1:13" ht="85.5">
      <c r="A1318" s="199">
        <v>1317</v>
      </c>
      <c r="B1318" s="199" t="s">
        <v>4630</v>
      </c>
      <c r="C1318" s="199" t="s">
        <v>34</v>
      </c>
      <c r="D1318" s="199" t="s">
        <v>35</v>
      </c>
      <c r="E1318" s="199">
        <v>80</v>
      </c>
      <c r="F1318" s="199" t="s">
        <v>8</v>
      </c>
      <c r="G1318" s="199" t="s">
        <v>4472</v>
      </c>
      <c r="H1318" s="200">
        <v>3735.2</v>
      </c>
      <c r="I1318" s="199" t="s">
        <v>38</v>
      </c>
      <c r="J1318" s="199" t="s">
        <v>415</v>
      </c>
      <c r="K1318" s="201">
        <v>45413</v>
      </c>
      <c r="L1318" s="199" t="s">
        <v>3319</v>
      </c>
      <c r="M1318" s="199" t="s">
        <v>3320</v>
      </c>
    </row>
    <row r="1319" spans="1:13" ht="85.5">
      <c r="A1319" s="199">
        <v>1318</v>
      </c>
      <c r="B1319" s="199" t="s">
        <v>4631</v>
      </c>
      <c r="C1319" s="199" t="s">
        <v>34</v>
      </c>
      <c r="D1319" s="199" t="s">
        <v>35</v>
      </c>
      <c r="E1319" s="199">
        <v>400</v>
      </c>
      <c r="F1319" s="199" t="s">
        <v>8</v>
      </c>
      <c r="G1319" s="199" t="s">
        <v>4472</v>
      </c>
      <c r="H1319" s="200">
        <v>6996</v>
      </c>
      <c r="I1319" s="199" t="s">
        <v>38</v>
      </c>
      <c r="J1319" s="199" t="s">
        <v>415</v>
      </c>
      <c r="K1319" s="201">
        <v>45413</v>
      </c>
      <c r="L1319" s="199" t="s">
        <v>3319</v>
      </c>
      <c r="M1319" s="199" t="s">
        <v>3320</v>
      </c>
    </row>
    <row r="1320" spans="1:13" ht="128.25">
      <c r="A1320" s="199">
        <v>1319</v>
      </c>
      <c r="B1320" s="199" t="s">
        <v>4632</v>
      </c>
      <c r="C1320" s="199" t="s">
        <v>34</v>
      </c>
      <c r="D1320" s="199" t="s">
        <v>35</v>
      </c>
      <c r="E1320" s="199">
        <v>300</v>
      </c>
      <c r="F1320" s="199" t="s">
        <v>8</v>
      </c>
      <c r="G1320" s="199" t="s">
        <v>4472</v>
      </c>
      <c r="H1320" s="200">
        <v>77250</v>
      </c>
      <c r="I1320" s="199" t="s">
        <v>38</v>
      </c>
      <c r="J1320" s="199" t="s">
        <v>415</v>
      </c>
      <c r="K1320" s="201">
        <v>45413</v>
      </c>
      <c r="L1320" s="199" t="s">
        <v>3319</v>
      </c>
      <c r="M1320" s="199" t="s">
        <v>3320</v>
      </c>
    </row>
    <row r="1321" spans="1:13" ht="85.5">
      <c r="A1321" s="199">
        <v>1320</v>
      </c>
      <c r="B1321" s="199" t="s">
        <v>4633</v>
      </c>
      <c r="C1321" s="199" t="s">
        <v>34</v>
      </c>
      <c r="D1321" s="199" t="s">
        <v>35</v>
      </c>
      <c r="E1321" s="199">
        <v>5000</v>
      </c>
      <c r="F1321" s="199" t="s">
        <v>8</v>
      </c>
      <c r="G1321" s="199" t="s">
        <v>4472</v>
      </c>
      <c r="H1321" s="200">
        <v>1750</v>
      </c>
      <c r="I1321" s="199" t="s">
        <v>38</v>
      </c>
      <c r="J1321" s="199" t="s">
        <v>415</v>
      </c>
      <c r="K1321" s="201">
        <v>45413</v>
      </c>
      <c r="L1321" s="199" t="s">
        <v>3319</v>
      </c>
      <c r="M1321" s="199" t="s">
        <v>3320</v>
      </c>
    </row>
    <row r="1322" spans="1:13" ht="85.5">
      <c r="A1322" s="199">
        <v>1321</v>
      </c>
      <c r="B1322" s="199" t="s">
        <v>4088</v>
      </c>
      <c r="C1322" s="199" t="s">
        <v>34</v>
      </c>
      <c r="D1322" s="199" t="s">
        <v>35</v>
      </c>
      <c r="E1322" s="199">
        <v>24</v>
      </c>
      <c r="F1322" s="199" t="s">
        <v>8</v>
      </c>
      <c r="G1322" s="199" t="s">
        <v>4634</v>
      </c>
      <c r="H1322" s="200">
        <v>463.92</v>
      </c>
      <c r="I1322" s="199" t="s">
        <v>20</v>
      </c>
      <c r="J1322" s="199" t="s">
        <v>415</v>
      </c>
      <c r="K1322" s="201">
        <v>45397</v>
      </c>
      <c r="L1322" s="199" t="s">
        <v>3319</v>
      </c>
      <c r="M1322" s="199" t="s">
        <v>3320</v>
      </c>
    </row>
    <row r="1323" spans="1:13" ht="99.75">
      <c r="A1323" s="199">
        <v>1322</v>
      </c>
      <c r="B1323" s="199" t="s">
        <v>4551</v>
      </c>
      <c r="C1323" s="199" t="s">
        <v>34</v>
      </c>
      <c r="D1323" s="199" t="s">
        <v>35</v>
      </c>
      <c r="E1323" s="199">
        <v>48</v>
      </c>
      <c r="F1323" s="199" t="s">
        <v>8</v>
      </c>
      <c r="G1323" s="199" t="s">
        <v>4634</v>
      </c>
      <c r="H1323" s="200">
        <v>425.28</v>
      </c>
      <c r="I1323" s="199" t="s">
        <v>20</v>
      </c>
      <c r="J1323" s="199" t="s">
        <v>415</v>
      </c>
      <c r="K1323" s="201">
        <v>45397</v>
      </c>
      <c r="L1323" s="199" t="s">
        <v>3319</v>
      </c>
      <c r="M1323" s="199" t="s">
        <v>3320</v>
      </c>
    </row>
    <row r="1324" spans="1:13" ht="85.5">
      <c r="A1324" s="199">
        <v>1323</v>
      </c>
      <c r="B1324" s="199" t="s">
        <v>4635</v>
      </c>
      <c r="C1324" s="199" t="s">
        <v>34</v>
      </c>
      <c r="D1324" s="199" t="s">
        <v>35</v>
      </c>
      <c r="E1324" s="199">
        <v>6120</v>
      </c>
      <c r="F1324" s="199" t="s">
        <v>8</v>
      </c>
      <c r="G1324" s="199" t="s">
        <v>4634</v>
      </c>
      <c r="H1324" s="200">
        <v>144460.79999999999</v>
      </c>
      <c r="I1324" s="199" t="s">
        <v>20</v>
      </c>
      <c r="J1324" s="199" t="s">
        <v>415</v>
      </c>
      <c r="K1324" s="201">
        <v>45397</v>
      </c>
      <c r="L1324" s="199" t="s">
        <v>3319</v>
      </c>
      <c r="M1324" s="199" t="s">
        <v>3320</v>
      </c>
    </row>
    <row r="1325" spans="1:13" ht="85.5">
      <c r="A1325" s="199">
        <v>1324</v>
      </c>
      <c r="B1325" s="199" t="s">
        <v>4636</v>
      </c>
      <c r="C1325" s="199" t="s">
        <v>34</v>
      </c>
      <c r="D1325" s="199" t="s">
        <v>35</v>
      </c>
      <c r="E1325" s="199">
        <v>5400</v>
      </c>
      <c r="F1325" s="199" t="s">
        <v>8</v>
      </c>
      <c r="G1325" s="199" t="s">
        <v>4634</v>
      </c>
      <c r="H1325" s="200">
        <v>223257.60000000001</v>
      </c>
      <c r="I1325" s="199" t="s">
        <v>20</v>
      </c>
      <c r="J1325" s="199" t="s">
        <v>415</v>
      </c>
      <c r="K1325" s="201">
        <v>45397</v>
      </c>
      <c r="L1325" s="199" t="s">
        <v>3319</v>
      </c>
      <c r="M1325" s="199" t="s">
        <v>3320</v>
      </c>
    </row>
    <row r="1326" spans="1:13" ht="85.5">
      <c r="A1326" s="199">
        <v>1325</v>
      </c>
      <c r="B1326" s="199" t="s">
        <v>4637</v>
      </c>
      <c r="C1326" s="199" t="s">
        <v>34</v>
      </c>
      <c r="D1326" s="199" t="s">
        <v>35</v>
      </c>
      <c r="E1326" s="199">
        <v>3240</v>
      </c>
      <c r="F1326" s="199" t="s">
        <v>8</v>
      </c>
      <c r="G1326" s="199" t="s">
        <v>4634</v>
      </c>
      <c r="H1326" s="200">
        <v>61819.199999999997</v>
      </c>
      <c r="I1326" s="199" t="s">
        <v>20</v>
      </c>
      <c r="J1326" s="199" t="s">
        <v>415</v>
      </c>
      <c r="K1326" s="201">
        <v>45397</v>
      </c>
      <c r="L1326" s="199" t="s">
        <v>3319</v>
      </c>
      <c r="M1326" s="199" t="s">
        <v>3320</v>
      </c>
    </row>
    <row r="1327" spans="1:13" ht="85.5">
      <c r="A1327" s="199">
        <v>1326</v>
      </c>
      <c r="B1327" s="199" t="s">
        <v>4638</v>
      </c>
      <c r="C1327" s="199" t="s">
        <v>34</v>
      </c>
      <c r="D1327" s="199" t="s">
        <v>35</v>
      </c>
      <c r="E1327" s="199">
        <v>3960</v>
      </c>
      <c r="F1327" s="199" t="s">
        <v>8</v>
      </c>
      <c r="G1327" s="199" t="s">
        <v>4634</v>
      </c>
      <c r="H1327" s="200">
        <v>112028.4</v>
      </c>
      <c r="I1327" s="199" t="s">
        <v>20</v>
      </c>
      <c r="J1327" s="199" t="s">
        <v>415</v>
      </c>
      <c r="K1327" s="201">
        <v>45397</v>
      </c>
      <c r="L1327" s="199" t="s">
        <v>3319</v>
      </c>
      <c r="M1327" s="199" t="s">
        <v>3320</v>
      </c>
    </row>
    <row r="1328" spans="1:13" ht="85.5">
      <c r="A1328" s="199">
        <v>1327</v>
      </c>
      <c r="B1328" s="199" t="s">
        <v>4639</v>
      </c>
      <c r="C1328" s="199" t="s">
        <v>34</v>
      </c>
      <c r="D1328" s="199" t="s">
        <v>35</v>
      </c>
      <c r="E1328" s="199">
        <v>24</v>
      </c>
      <c r="F1328" s="199" t="s">
        <v>679</v>
      </c>
      <c r="G1328" s="199" t="s">
        <v>4634</v>
      </c>
      <c r="H1328" s="200">
        <v>530.4</v>
      </c>
      <c r="I1328" s="199" t="s">
        <v>20</v>
      </c>
      <c r="J1328" s="199" t="s">
        <v>415</v>
      </c>
      <c r="K1328" s="201">
        <v>45397</v>
      </c>
      <c r="L1328" s="199" t="s">
        <v>3319</v>
      </c>
      <c r="M1328" s="199" t="s">
        <v>3320</v>
      </c>
    </row>
    <row r="1329" spans="1:13" ht="85.5">
      <c r="A1329" s="199">
        <v>1328</v>
      </c>
      <c r="B1329" s="199" t="s">
        <v>4640</v>
      </c>
      <c r="C1329" s="199" t="s">
        <v>34</v>
      </c>
      <c r="D1329" s="199" t="s">
        <v>35</v>
      </c>
      <c r="E1329" s="199">
        <v>192</v>
      </c>
      <c r="F1329" s="199" t="s">
        <v>8</v>
      </c>
      <c r="G1329" s="199" t="s">
        <v>4634</v>
      </c>
      <c r="H1329" s="200">
        <v>14807.04</v>
      </c>
      <c r="I1329" s="199" t="s">
        <v>20</v>
      </c>
      <c r="J1329" s="199" t="s">
        <v>415</v>
      </c>
      <c r="K1329" s="201">
        <v>45397</v>
      </c>
      <c r="L1329" s="199" t="s">
        <v>3319</v>
      </c>
      <c r="M1329" s="199" t="s">
        <v>3320</v>
      </c>
    </row>
    <row r="1330" spans="1:13" ht="85.5">
      <c r="A1330" s="199">
        <v>1329</v>
      </c>
      <c r="B1330" s="199" t="s">
        <v>4641</v>
      </c>
      <c r="C1330" s="199" t="s">
        <v>34</v>
      </c>
      <c r="D1330" s="199" t="s">
        <v>35</v>
      </c>
      <c r="E1330" s="199">
        <v>48</v>
      </c>
      <c r="F1330" s="199" t="s">
        <v>8</v>
      </c>
      <c r="G1330" s="199" t="s">
        <v>4634</v>
      </c>
      <c r="H1330" s="200">
        <v>4006.56</v>
      </c>
      <c r="I1330" s="199" t="s">
        <v>20</v>
      </c>
      <c r="J1330" s="199" t="s">
        <v>415</v>
      </c>
      <c r="K1330" s="201">
        <v>45397</v>
      </c>
      <c r="L1330" s="199" t="s">
        <v>3319</v>
      </c>
      <c r="M1330" s="199" t="s">
        <v>3320</v>
      </c>
    </row>
    <row r="1331" spans="1:13" ht="85.5">
      <c r="A1331" s="199">
        <v>1330</v>
      </c>
      <c r="B1331" s="199" t="s">
        <v>4642</v>
      </c>
      <c r="C1331" s="199" t="s">
        <v>34</v>
      </c>
      <c r="D1331" s="199" t="s">
        <v>35</v>
      </c>
      <c r="E1331" s="199">
        <v>720</v>
      </c>
      <c r="F1331" s="199" t="s">
        <v>8</v>
      </c>
      <c r="G1331" s="199" t="s">
        <v>4634</v>
      </c>
      <c r="H1331" s="200">
        <v>568.79999999999995</v>
      </c>
      <c r="I1331" s="199" t="s">
        <v>20</v>
      </c>
      <c r="J1331" s="199" t="s">
        <v>415</v>
      </c>
      <c r="K1331" s="201">
        <v>45397</v>
      </c>
      <c r="L1331" s="199" t="s">
        <v>3319</v>
      </c>
      <c r="M1331" s="199" t="s">
        <v>3320</v>
      </c>
    </row>
    <row r="1332" spans="1:13" ht="114">
      <c r="A1332" s="199">
        <v>1331</v>
      </c>
      <c r="B1332" s="199" t="s">
        <v>4643</v>
      </c>
      <c r="C1332" s="199" t="s">
        <v>34</v>
      </c>
      <c r="D1332" s="199" t="s">
        <v>35</v>
      </c>
      <c r="E1332" s="199">
        <v>120</v>
      </c>
      <c r="F1332" s="199" t="s">
        <v>4644</v>
      </c>
      <c r="G1332" s="199" t="s">
        <v>4634</v>
      </c>
      <c r="H1332" s="200">
        <v>8492.4</v>
      </c>
      <c r="I1332" s="199" t="s">
        <v>20</v>
      </c>
      <c r="J1332" s="199" t="s">
        <v>415</v>
      </c>
      <c r="K1332" s="201">
        <v>45397</v>
      </c>
      <c r="L1332" s="199" t="s">
        <v>3319</v>
      </c>
      <c r="M1332" s="199" t="s">
        <v>3320</v>
      </c>
    </row>
    <row r="1333" spans="1:13" ht="114">
      <c r="A1333" s="199">
        <v>1332</v>
      </c>
      <c r="B1333" s="199" t="s">
        <v>4645</v>
      </c>
      <c r="C1333" s="199" t="s">
        <v>34</v>
      </c>
      <c r="D1333" s="199" t="s">
        <v>35</v>
      </c>
      <c r="E1333" s="199">
        <v>2520</v>
      </c>
      <c r="F1333" s="199" t="s">
        <v>8</v>
      </c>
      <c r="G1333" s="199" t="s">
        <v>4634</v>
      </c>
      <c r="H1333" s="200">
        <v>35910</v>
      </c>
      <c r="I1333" s="199" t="s">
        <v>20</v>
      </c>
      <c r="J1333" s="199" t="s">
        <v>415</v>
      </c>
      <c r="K1333" s="201">
        <v>45397</v>
      </c>
      <c r="L1333" s="199" t="s">
        <v>3319</v>
      </c>
      <c r="M1333" s="199" t="s">
        <v>3320</v>
      </c>
    </row>
    <row r="1334" spans="1:13" ht="99.75">
      <c r="A1334" s="199">
        <v>1333</v>
      </c>
      <c r="B1334" s="199" t="s">
        <v>4646</v>
      </c>
      <c r="C1334" s="199" t="s">
        <v>34</v>
      </c>
      <c r="D1334" s="199" t="s">
        <v>35</v>
      </c>
      <c r="E1334" s="199">
        <v>720</v>
      </c>
      <c r="F1334" s="199" t="s">
        <v>8</v>
      </c>
      <c r="G1334" s="199" t="s">
        <v>4634</v>
      </c>
      <c r="H1334" s="200">
        <v>12736.8</v>
      </c>
      <c r="I1334" s="199" t="s">
        <v>20</v>
      </c>
      <c r="J1334" s="199" t="s">
        <v>415</v>
      </c>
      <c r="K1334" s="201">
        <v>45397</v>
      </c>
      <c r="L1334" s="199" t="s">
        <v>3319</v>
      </c>
      <c r="M1334" s="199" t="s">
        <v>3320</v>
      </c>
    </row>
    <row r="1335" spans="1:13" ht="85.5">
      <c r="A1335" s="199">
        <v>1334</v>
      </c>
      <c r="B1335" s="199" t="s">
        <v>4647</v>
      </c>
      <c r="C1335" s="199" t="s">
        <v>34</v>
      </c>
      <c r="D1335" s="199" t="s">
        <v>35</v>
      </c>
      <c r="E1335" s="199">
        <v>48</v>
      </c>
      <c r="F1335" s="199" t="s">
        <v>8</v>
      </c>
      <c r="G1335" s="199" t="s">
        <v>4634</v>
      </c>
      <c r="H1335" s="200">
        <v>1449.12</v>
      </c>
      <c r="I1335" s="199" t="s">
        <v>20</v>
      </c>
      <c r="J1335" s="199" t="s">
        <v>415</v>
      </c>
      <c r="K1335" s="201">
        <v>45397</v>
      </c>
      <c r="L1335" s="199" t="s">
        <v>3319</v>
      </c>
      <c r="M1335" s="199" t="s">
        <v>3320</v>
      </c>
    </row>
    <row r="1336" spans="1:13" ht="85.5">
      <c r="A1336" s="199">
        <v>1335</v>
      </c>
      <c r="B1336" s="199" t="s">
        <v>4648</v>
      </c>
      <c r="C1336" s="199" t="s">
        <v>34</v>
      </c>
      <c r="D1336" s="199" t="s">
        <v>35</v>
      </c>
      <c r="E1336" s="199">
        <v>48</v>
      </c>
      <c r="F1336" s="199" t="s">
        <v>8</v>
      </c>
      <c r="G1336" s="199" t="s">
        <v>4634</v>
      </c>
      <c r="H1336" s="200">
        <v>1615.2</v>
      </c>
      <c r="I1336" s="199" t="s">
        <v>20</v>
      </c>
      <c r="J1336" s="199" t="s">
        <v>415</v>
      </c>
      <c r="K1336" s="201">
        <v>45397</v>
      </c>
      <c r="L1336" s="199" t="s">
        <v>3319</v>
      </c>
      <c r="M1336" s="199" t="s">
        <v>3320</v>
      </c>
    </row>
    <row r="1337" spans="1:13" ht="142.5">
      <c r="A1337" s="199">
        <v>1336</v>
      </c>
      <c r="B1337" s="199" t="s">
        <v>4649</v>
      </c>
      <c r="C1337" s="199" t="s">
        <v>34</v>
      </c>
      <c r="D1337" s="199" t="s">
        <v>35</v>
      </c>
      <c r="E1337" s="199">
        <v>72</v>
      </c>
      <c r="F1337" s="199" t="s">
        <v>591</v>
      </c>
      <c r="G1337" s="199" t="s">
        <v>4634</v>
      </c>
      <c r="H1337" s="200">
        <v>2719.44</v>
      </c>
      <c r="I1337" s="199" t="s">
        <v>20</v>
      </c>
      <c r="J1337" s="199" t="s">
        <v>415</v>
      </c>
      <c r="K1337" s="201">
        <v>45397</v>
      </c>
      <c r="L1337" s="199" t="s">
        <v>3319</v>
      </c>
      <c r="M1337" s="199" t="s">
        <v>3320</v>
      </c>
    </row>
    <row r="1338" spans="1:13" ht="85.5">
      <c r="A1338" s="199">
        <v>1337</v>
      </c>
      <c r="B1338" s="199" t="s">
        <v>4650</v>
      </c>
      <c r="C1338" s="199" t="s">
        <v>34</v>
      </c>
      <c r="D1338" s="199" t="s">
        <v>35</v>
      </c>
      <c r="E1338" s="199">
        <v>48</v>
      </c>
      <c r="F1338" s="199" t="s">
        <v>8</v>
      </c>
      <c r="G1338" s="199" t="s">
        <v>4634</v>
      </c>
      <c r="H1338" s="200">
        <v>2522.4</v>
      </c>
      <c r="I1338" s="199" t="s">
        <v>20</v>
      </c>
      <c r="J1338" s="199" t="s">
        <v>415</v>
      </c>
      <c r="K1338" s="201">
        <v>45397</v>
      </c>
      <c r="L1338" s="199" t="s">
        <v>3319</v>
      </c>
      <c r="M1338" s="199" t="s">
        <v>3320</v>
      </c>
    </row>
    <row r="1339" spans="1:13" ht="85.5">
      <c r="A1339" s="199">
        <v>1338</v>
      </c>
      <c r="B1339" s="199" t="s">
        <v>4651</v>
      </c>
      <c r="C1339" s="199" t="s">
        <v>34</v>
      </c>
      <c r="D1339" s="199" t="s">
        <v>35</v>
      </c>
      <c r="E1339" s="199">
        <v>120</v>
      </c>
      <c r="F1339" s="199" t="s">
        <v>4644</v>
      </c>
      <c r="G1339" s="199" t="s">
        <v>4634</v>
      </c>
      <c r="H1339" s="200">
        <v>1668</v>
      </c>
      <c r="I1339" s="199" t="s">
        <v>20</v>
      </c>
      <c r="J1339" s="199" t="s">
        <v>415</v>
      </c>
      <c r="K1339" s="201">
        <v>45397</v>
      </c>
      <c r="L1339" s="199" t="s">
        <v>3319</v>
      </c>
      <c r="M1339" s="199" t="s">
        <v>3320</v>
      </c>
    </row>
    <row r="1340" spans="1:13" ht="85.5">
      <c r="A1340" s="199">
        <v>1339</v>
      </c>
      <c r="B1340" s="199" t="s">
        <v>4652</v>
      </c>
      <c r="C1340" s="199" t="s">
        <v>34</v>
      </c>
      <c r="D1340" s="199" t="s">
        <v>35</v>
      </c>
      <c r="E1340" s="199">
        <v>7200</v>
      </c>
      <c r="F1340" s="199" t="s">
        <v>4644</v>
      </c>
      <c r="G1340" s="199" t="s">
        <v>4634</v>
      </c>
      <c r="H1340" s="200">
        <v>23616</v>
      </c>
      <c r="I1340" s="199" t="s">
        <v>20</v>
      </c>
      <c r="J1340" s="199" t="s">
        <v>415</v>
      </c>
      <c r="K1340" s="201">
        <v>45397</v>
      </c>
      <c r="L1340" s="199" t="s">
        <v>3319</v>
      </c>
      <c r="M1340" s="199" t="s">
        <v>3320</v>
      </c>
    </row>
    <row r="1341" spans="1:13" ht="85.5">
      <c r="A1341" s="199">
        <v>1340</v>
      </c>
      <c r="B1341" s="199" t="s">
        <v>4653</v>
      </c>
      <c r="C1341" s="199" t="s">
        <v>34</v>
      </c>
      <c r="D1341" s="199" t="s">
        <v>35</v>
      </c>
      <c r="E1341" s="199">
        <v>48</v>
      </c>
      <c r="F1341" s="199" t="s">
        <v>8</v>
      </c>
      <c r="G1341" s="199" t="s">
        <v>4634</v>
      </c>
      <c r="H1341" s="200">
        <v>1425.12</v>
      </c>
      <c r="I1341" s="199" t="s">
        <v>20</v>
      </c>
      <c r="J1341" s="199" t="s">
        <v>415</v>
      </c>
      <c r="K1341" s="201">
        <v>45397</v>
      </c>
      <c r="L1341" s="199" t="s">
        <v>3319</v>
      </c>
      <c r="M1341" s="199" t="s">
        <v>3320</v>
      </c>
    </row>
    <row r="1342" spans="1:13" ht="85.5">
      <c r="A1342" s="199">
        <v>1341</v>
      </c>
      <c r="B1342" s="199" t="s">
        <v>4654</v>
      </c>
      <c r="C1342" s="199" t="s">
        <v>34</v>
      </c>
      <c r="D1342" s="199" t="s">
        <v>35</v>
      </c>
      <c r="E1342" s="199">
        <v>960</v>
      </c>
      <c r="F1342" s="199" t="s">
        <v>8</v>
      </c>
      <c r="G1342" s="199" t="s">
        <v>4634</v>
      </c>
      <c r="H1342" s="200">
        <v>3763.2</v>
      </c>
      <c r="I1342" s="199" t="s">
        <v>20</v>
      </c>
      <c r="J1342" s="199" t="s">
        <v>415</v>
      </c>
      <c r="K1342" s="201">
        <v>45397</v>
      </c>
      <c r="L1342" s="199" t="s">
        <v>3319</v>
      </c>
      <c r="M1342" s="199" t="s">
        <v>3320</v>
      </c>
    </row>
    <row r="1343" spans="1:13" ht="85.5">
      <c r="A1343" s="199">
        <v>1342</v>
      </c>
      <c r="B1343" s="199" t="s">
        <v>4655</v>
      </c>
      <c r="C1343" s="199" t="s">
        <v>34</v>
      </c>
      <c r="D1343" s="199" t="s">
        <v>35</v>
      </c>
      <c r="E1343" s="199">
        <v>3600</v>
      </c>
      <c r="F1343" s="199" t="s">
        <v>8</v>
      </c>
      <c r="G1343" s="199" t="s">
        <v>4634</v>
      </c>
      <c r="H1343" s="200">
        <v>53460</v>
      </c>
      <c r="I1343" s="199" t="s">
        <v>20</v>
      </c>
      <c r="J1343" s="199" t="s">
        <v>415</v>
      </c>
      <c r="K1343" s="201">
        <v>45397</v>
      </c>
      <c r="L1343" s="199" t="s">
        <v>3319</v>
      </c>
      <c r="M1343" s="199" t="s">
        <v>3320</v>
      </c>
    </row>
    <row r="1344" spans="1:13" ht="85.5">
      <c r="A1344" s="199">
        <v>1343</v>
      </c>
      <c r="B1344" s="199" t="s">
        <v>4656</v>
      </c>
      <c r="C1344" s="199" t="s">
        <v>34</v>
      </c>
      <c r="D1344" s="199" t="s">
        <v>35</v>
      </c>
      <c r="E1344" s="199">
        <v>240</v>
      </c>
      <c r="F1344" s="199" t="s">
        <v>591</v>
      </c>
      <c r="G1344" s="199" t="s">
        <v>4634</v>
      </c>
      <c r="H1344" s="200">
        <v>21271.200000000001</v>
      </c>
      <c r="I1344" s="199" t="s">
        <v>20</v>
      </c>
      <c r="J1344" s="199" t="s">
        <v>415</v>
      </c>
      <c r="K1344" s="201">
        <v>45397</v>
      </c>
      <c r="L1344" s="199" t="s">
        <v>3319</v>
      </c>
      <c r="M1344" s="199" t="s">
        <v>3320</v>
      </c>
    </row>
    <row r="1345" spans="1:13" ht="85.5">
      <c r="A1345" s="199">
        <v>1344</v>
      </c>
      <c r="B1345" s="199" t="s">
        <v>4657</v>
      </c>
      <c r="C1345" s="199" t="s">
        <v>34</v>
      </c>
      <c r="D1345" s="199" t="s">
        <v>35</v>
      </c>
      <c r="E1345" s="199">
        <v>45</v>
      </c>
      <c r="F1345" s="199" t="s">
        <v>510</v>
      </c>
      <c r="G1345" s="199" t="s">
        <v>4658</v>
      </c>
      <c r="H1345" s="200">
        <v>5549.85</v>
      </c>
      <c r="I1345" s="199" t="s">
        <v>20</v>
      </c>
      <c r="J1345" s="199" t="s">
        <v>415</v>
      </c>
      <c r="K1345" s="201">
        <v>45575</v>
      </c>
      <c r="L1345" s="199" t="s">
        <v>3319</v>
      </c>
      <c r="M1345" s="199" t="s">
        <v>3320</v>
      </c>
    </row>
    <row r="1346" spans="1:13" ht="85.5">
      <c r="A1346" s="199">
        <v>1345</v>
      </c>
      <c r="B1346" s="199" t="s">
        <v>4659</v>
      </c>
      <c r="C1346" s="199" t="s">
        <v>34</v>
      </c>
      <c r="D1346" s="199" t="s">
        <v>35</v>
      </c>
      <c r="E1346" s="199">
        <v>30</v>
      </c>
      <c r="F1346" s="199" t="s">
        <v>510</v>
      </c>
      <c r="G1346" s="199" t="s">
        <v>4658</v>
      </c>
      <c r="H1346" s="200">
        <v>3699.9</v>
      </c>
      <c r="I1346" s="199" t="s">
        <v>20</v>
      </c>
      <c r="J1346" s="199" t="s">
        <v>415</v>
      </c>
      <c r="K1346" s="201">
        <v>45575</v>
      </c>
      <c r="L1346" s="199" t="s">
        <v>3319</v>
      </c>
      <c r="M1346" s="199" t="s">
        <v>3320</v>
      </c>
    </row>
    <row r="1347" spans="1:13" ht="85.5">
      <c r="A1347" s="199">
        <v>1346</v>
      </c>
      <c r="B1347" s="199" t="s">
        <v>4660</v>
      </c>
      <c r="C1347" s="199" t="s">
        <v>34</v>
      </c>
      <c r="D1347" s="199" t="s">
        <v>35</v>
      </c>
      <c r="E1347" s="199">
        <v>200</v>
      </c>
      <c r="F1347" s="199" t="s">
        <v>510</v>
      </c>
      <c r="G1347" s="199" t="s">
        <v>4658</v>
      </c>
      <c r="H1347" s="200">
        <v>16934</v>
      </c>
      <c r="I1347" s="199" t="s">
        <v>20</v>
      </c>
      <c r="J1347" s="199" t="s">
        <v>415</v>
      </c>
      <c r="K1347" s="201">
        <v>45575</v>
      </c>
      <c r="L1347" s="199" t="s">
        <v>3319</v>
      </c>
      <c r="M1347" s="199" t="s">
        <v>3320</v>
      </c>
    </row>
    <row r="1348" spans="1:13" ht="85.5">
      <c r="A1348" s="199">
        <v>1347</v>
      </c>
      <c r="B1348" s="199" t="s">
        <v>4661</v>
      </c>
      <c r="C1348" s="199" t="s">
        <v>34</v>
      </c>
      <c r="D1348" s="199" t="s">
        <v>35</v>
      </c>
      <c r="E1348" s="199">
        <v>80</v>
      </c>
      <c r="F1348" s="199" t="s">
        <v>928</v>
      </c>
      <c r="G1348" s="199" t="s">
        <v>4658</v>
      </c>
      <c r="H1348" s="200">
        <v>9786.4</v>
      </c>
      <c r="I1348" s="199" t="s">
        <v>20</v>
      </c>
      <c r="J1348" s="199" t="s">
        <v>415</v>
      </c>
      <c r="K1348" s="201">
        <v>45575</v>
      </c>
      <c r="L1348" s="199" t="s">
        <v>3319</v>
      </c>
      <c r="M1348" s="199" t="s">
        <v>3320</v>
      </c>
    </row>
    <row r="1349" spans="1:13" ht="85.5">
      <c r="A1349" s="199">
        <v>1348</v>
      </c>
      <c r="B1349" s="199" t="s">
        <v>4662</v>
      </c>
      <c r="C1349" s="199" t="s">
        <v>34</v>
      </c>
      <c r="D1349" s="199" t="s">
        <v>35</v>
      </c>
      <c r="E1349" s="199">
        <v>180</v>
      </c>
      <c r="F1349" s="199" t="s">
        <v>928</v>
      </c>
      <c r="G1349" s="199" t="s">
        <v>4658</v>
      </c>
      <c r="H1349" s="200">
        <v>19440</v>
      </c>
      <c r="I1349" s="199" t="s">
        <v>20</v>
      </c>
      <c r="J1349" s="199" t="s">
        <v>415</v>
      </c>
      <c r="K1349" s="201">
        <v>45575</v>
      </c>
      <c r="L1349" s="199" t="s">
        <v>3319</v>
      </c>
      <c r="M1349" s="199" t="s">
        <v>3320</v>
      </c>
    </row>
    <row r="1350" spans="1:13" ht="85.5">
      <c r="A1350" s="199">
        <v>1349</v>
      </c>
      <c r="B1350" s="199" t="s">
        <v>4663</v>
      </c>
      <c r="C1350" s="199" t="s">
        <v>34</v>
      </c>
      <c r="D1350" s="199" t="s">
        <v>35</v>
      </c>
      <c r="E1350" s="199">
        <v>80</v>
      </c>
      <c r="F1350" s="199" t="s">
        <v>510</v>
      </c>
      <c r="G1350" s="199" t="s">
        <v>4658</v>
      </c>
      <c r="H1350" s="200">
        <v>4050.4</v>
      </c>
      <c r="I1350" s="199" t="s">
        <v>20</v>
      </c>
      <c r="J1350" s="199" t="s">
        <v>415</v>
      </c>
      <c r="K1350" s="201">
        <v>45575</v>
      </c>
      <c r="L1350" s="199" t="s">
        <v>3319</v>
      </c>
      <c r="M1350" s="199" t="s">
        <v>3320</v>
      </c>
    </row>
    <row r="1351" spans="1:13" ht="85.5">
      <c r="A1351" s="199">
        <v>1350</v>
      </c>
      <c r="B1351" s="199" t="s">
        <v>4664</v>
      </c>
      <c r="C1351" s="199" t="s">
        <v>34</v>
      </c>
      <c r="D1351" s="199" t="s">
        <v>35</v>
      </c>
      <c r="E1351" s="199">
        <v>150</v>
      </c>
      <c r="F1351" s="199" t="s">
        <v>928</v>
      </c>
      <c r="G1351" s="199" t="s">
        <v>4658</v>
      </c>
      <c r="H1351" s="200">
        <v>9844.5</v>
      </c>
      <c r="I1351" s="199" t="s">
        <v>20</v>
      </c>
      <c r="J1351" s="199" t="s">
        <v>415</v>
      </c>
      <c r="K1351" s="201">
        <v>45575</v>
      </c>
      <c r="L1351" s="199" t="s">
        <v>3319</v>
      </c>
      <c r="M1351" s="199" t="s">
        <v>3320</v>
      </c>
    </row>
    <row r="1352" spans="1:13" ht="85.5">
      <c r="A1352" s="199">
        <v>1351</v>
      </c>
      <c r="B1352" s="199" t="s">
        <v>4665</v>
      </c>
      <c r="C1352" s="199" t="s">
        <v>34</v>
      </c>
      <c r="D1352" s="199" t="s">
        <v>35</v>
      </c>
      <c r="E1352" s="199">
        <v>70</v>
      </c>
      <c r="F1352" s="199" t="s">
        <v>928</v>
      </c>
      <c r="G1352" s="199" t="s">
        <v>4658</v>
      </c>
      <c r="H1352" s="200">
        <v>4631.8999999999996</v>
      </c>
      <c r="I1352" s="199" t="s">
        <v>20</v>
      </c>
      <c r="J1352" s="199" t="s">
        <v>415</v>
      </c>
      <c r="K1352" s="201">
        <v>45575</v>
      </c>
      <c r="L1352" s="199" t="s">
        <v>3319</v>
      </c>
      <c r="M1352" s="199" t="s">
        <v>3320</v>
      </c>
    </row>
    <row r="1353" spans="1:13" ht="85.5">
      <c r="A1353" s="199">
        <v>1352</v>
      </c>
      <c r="B1353" s="199" t="s">
        <v>4666</v>
      </c>
      <c r="C1353" s="199" t="s">
        <v>34</v>
      </c>
      <c r="D1353" s="199" t="s">
        <v>35</v>
      </c>
      <c r="E1353" s="199">
        <v>80</v>
      </c>
      <c r="F1353" s="199" t="s">
        <v>928</v>
      </c>
      <c r="G1353" s="199" t="s">
        <v>4658</v>
      </c>
      <c r="H1353" s="200">
        <v>4824</v>
      </c>
      <c r="I1353" s="199" t="s">
        <v>20</v>
      </c>
      <c r="J1353" s="199" t="s">
        <v>415</v>
      </c>
      <c r="K1353" s="201">
        <v>45575</v>
      </c>
      <c r="L1353" s="199" t="s">
        <v>3319</v>
      </c>
      <c r="M1353" s="199" t="s">
        <v>3320</v>
      </c>
    </row>
    <row r="1354" spans="1:13" ht="114">
      <c r="A1354" s="199">
        <v>1353</v>
      </c>
      <c r="B1354" s="199" t="s">
        <v>4667</v>
      </c>
      <c r="C1354" s="199" t="s">
        <v>34</v>
      </c>
      <c r="D1354" s="199" t="s">
        <v>35</v>
      </c>
      <c r="E1354" s="199">
        <v>25</v>
      </c>
      <c r="F1354" s="199" t="s">
        <v>928</v>
      </c>
      <c r="G1354" s="199" t="s">
        <v>4658</v>
      </c>
      <c r="H1354" s="200">
        <v>11208.25</v>
      </c>
      <c r="I1354" s="199" t="s">
        <v>20</v>
      </c>
      <c r="J1354" s="199" t="s">
        <v>415</v>
      </c>
      <c r="K1354" s="201">
        <v>45575</v>
      </c>
      <c r="L1354" s="199" t="s">
        <v>3319</v>
      </c>
      <c r="M1354" s="199" t="s">
        <v>3320</v>
      </c>
    </row>
    <row r="1355" spans="1:13" ht="85.5">
      <c r="A1355" s="199">
        <v>1354</v>
      </c>
      <c r="B1355" s="199" t="s">
        <v>4668</v>
      </c>
      <c r="C1355" s="199" t="s">
        <v>34</v>
      </c>
      <c r="D1355" s="199" t="s">
        <v>35</v>
      </c>
      <c r="E1355" s="199">
        <v>15</v>
      </c>
      <c r="F1355" s="199" t="s">
        <v>928</v>
      </c>
      <c r="G1355" s="199" t="s">
        <v>4658</v>
      </c>
      <c r="H1355" s="200">
        <v>1846.65</v>
      </c>
      <c r="I1355" s="199" t="s">
        <v>20</v>
      </c>
      <c r="J1355" s="199" t="s">
        <v>415</v>
      </c>
      <c r="K1355" s="201">
        <v>45575</v>
      </c>
      <c r="L1355" s="199" t="s">
        <v>3319</v>
      </c>
      <c r="M1355" s="199" t="s">
        <v>3320</v>
      </c>
    </row>
    <row r="1356" spans="1:13" ht="85.5">
      <c r="A1356" s="199">
        <v>1355</v>
      </c>
      <c r="B1356" s="199" t="s">
        <v>4669</v>
      </c>
      <c r="C1356" s="199" t="s">
        <v>34</v>
      </c>
      <c r="D1356" s="199" t="s">
        <v>35</v>
      </c>
      <c r="E1356" s="199">
        <v>300</v>
      </c>
      <c r="F1356" s="199" t="s">
        <v>510</v>
      </c>
      <c r="G1356" s="199" t="s">
        <v>4658</v>
      </c>
      <c r="H1356" s="200">
        <v>6456</v>
      </c>
      <c r="I1356" s="199" t="s">
        <v>20</v>
      </c>
      <c r="J1356" s="199" t="s">
        <v>415</v>
      </c>
      <c r="K1356" s="201">
        <v>45575</v>
      </c>
      <c r="L1356" s="199" t="s">
        <v>3319</v>
      </c>
      <c r="M1356" s="199" t="s">
        <v>3320</v>
      </c>
    </row>
    <row r="1357" spans="1:13" ht="85.5">
      <c r="A1357" s="199">
        <v>1356</v>
      </c>
      <c r="B1357" s="199" t="s">
        <v>4670</v>
      </c>
      <c r="C1357" s="199" t="s">
        <v>34</v>
      </c>
      <c r="D1357" s="199" t="s">
        <v>35</v>
      </c>
      <c r="E1357" s="199">
        <v>10</v>
      </c>
      <c r="F1357" s="199" t="s">
        <v>510</v>
      </c>
      <c r="G1357" s="199" t="s">
        <v>4658</v>
      </c>
      <c r="H1357" s="200">
        <v>3386.7</v>
      </c>
      <c r="I1357" s="199" t="s">
        <v>20</v>
      </c>
      <c r="J1357" s="199" t="s">
        <v>415</v>
      </c>
      <c r="K1357" s="201">
        <v>45575</v>
      </c>
      <c r="L1357" s="199" t="s">
        <v>3319</v>
      </c>
      <c r="M1357" s="199" t="s">
        <v>3320</v>
      </c>
    </row>
    <row r="1358" spans="1:13" ht="85.5">
      <c r="A1358" s="199">
        <v>1357</v>
      </c>
      <c r="B1358" s="199" t="s">
        <v>4671</v>
      </c>
      <c r="C1358" s="199" t="s">
        <v>34</v>
      </c>
      <c r="D1358" s="199" t="s">
        <v>35</v>
      </c>
      <c r="E1358" s="199">
        <v>60</v>
      </c>
      <c r="F1358" s="199" t="s">
        <v>4672</v>
      </c>
      <c r="G1358" s="199" t="s">
        <v>4658</v>
      </c>
      <c r="H1358" s="200">
        <v>1500</v>
      </c>
      <c r="I1358" s="199" t="s">
        <v>20</v>
      </c>
      <c r="J1358" s="199" t="s">
        <v>415</v>
      </c>
      <c r="K1358" s="201">
        <v>45575</v>
      </c>
      <c r="L1358" s="199" t="s">
        <v>3319</v>
      </c>
      <c r="M1358" s="199" t="s">
        <v>3320</v>
      </c>
    </row>
    <row r="1359" spans="1:13" ht="85.5">
      <c r="A1359" s="199">
        <v>1358</v>
      </c>
      <c r="B1359" s="199" t="s">
        <v>4673</v>
      </c>
      <c r="C1359" s="199" t="s">
        <v>34</v>
      </c>
      <c r="D1359" s="199" t="s">
        <v>35</v>
      </c>
      <c r="E1359" s="199">
        <v>45</v>
      </c>
      <c r="F1359" s="199" t="s">
        <v>2378</v>
      </c>
      <c r="G1359" s="199" t="s">
        <v>4658</v>
      </c>
      <c r="H1359" s="200">
        <v>1710</v>
      </c>
      <c r="I1359" s="199" t="s">
        <v>20</v>
      </c>
      <c r="J1359" s="199" t="s">
        <v>415</v>
      </c>
      <c r="K1359" s="201">
        <v>45575</v>
      </c>
      <c r="L1359" s="199" t="s">
        <v>3319</v>
      </c>
      <c r="M1359" s="199" t="s">
        <v>3320</v>
      </c>
    </row>
    <row r="1360" spans="1:13" ht="85.5">
      <c r="A1360" s="199">
        <v>1359</v>
      </c>
      <c r="B1360" s="199" t="s">
        <v>4674</v>
      </c>
      <c r="C1360" s="199" t="s">
        <v>34</v>
      </c>
      <c r="D1360" s="199" t="s">
        <v>35</v>
      </c>
      <c r="E1360" s="199">
        <v>300</v>
      </c>
      <c r="F1360" s="199" t="s">
        <v>890</v>
      </c>
      <c r="G1360" s="199" t="s">
        <v>4658</v>
      </c>
      <c r="H1360" s="200">
        <v>29700</v>
      </c>
      <c r="I1360" s="199" t="s">
        <v>20</v>
      </c>
      <c r="J1360" s="199" t="s">
        <v>415</v>
      </c>
      <c r="K1360" s="201">
        <v>45575</v>
      </c>
      <c r="L1360" s="199" t="s">
        <v>3319</v>
      </c>
      <c r="M1360" s="199" t="s">
        <v>3320</v>
      </c>
    </row>
    <row r="1361" spans="1:13" ht="85.5">
      <c r="A1361" s="199">
        <v>1360</v>
      </c>
      <c r="B1361" s="199" t="s">
        <v>4675</v>
      </c>
      <c r="C1361" s="199" t="s">
        <v>34</v>
      </c>
      <c r="D1361" s="199" t="s">
        <v>35</v>
      </c>
      <c r="E1361" s="199">
        <v>330</v>
      </c>
      <c r="F1361" s="199" t="s">
        <v>890</v>
      </c>
      <c r="G1361" s="199" t="s">
        <v>4658</v>
      </c>
      <c r="H1361" s="200">
        <v>3267</v>
      </c>
      <c r="I1361" s="199" t="s">
        <v>20</v>
      </c>
      <c r="J1361" s="199" t="s">
        <v>415</v>
      </c>
      <c r="K1361" s="201">
        <v>45575</v>
      </c>
      <c r="L1361" s="199" t="s">
        <v>3319</v>
      </c>
      <c r="M1361" s="199" t="s">
        <v>3320</v>
      </c>
    </row>
    <row r="1362" spans="1:13" ht="85.5">
      <c r="A1362" s="199">
        <v>1361</v>
      </c>
      <c r="B1362" s="199" t="s">
        <v>4676</v>
      </c>
      <c r="C1362" s="199" t="s">
        <v>34</v>
      </c>
      <c r="D1362" s="199" t="s">
        <v>35</v>
      </c>
      <c r="E1362" s="199">
        <v>150</v>
      </c>
      <c r="F1362" s="199" t="s">
        <v>510</v>
      </c>
      <c r="G1362" s="199" t="s">
        <v>4658</v>
      </c>
      <c r="H1362" s="200">
        <v>5800.5</v>
      </c>
      <c r="I1362" s="199" t="s">
        <v>20</v>
      </c>
      <c r="J1362" s="199" t="s">
        <v>415</v>
      </c>
      <c r="K1362" s="201">
        <v>45575</v>
      </c>
      <c r="L1362" s="199" t="s">
        <v>3319</v>
      </c>
      <c r="M1362" s="199" t="s">
        <v>3320</v>
      </c>
    </row>
    <row r="1363" spans="1:13" ht="85.5">
      <c r="A1363" s="199">
        <v>1362</v>
      </c>
      <c r="B1363" s="199" t="s">
        <v>4677</v>
      </c>
      <c r="C1363" s="199" t="s">
        <v>34</v>
      </c>
      <c r="D1363" s="199" t="s">
        <v>35</v>
      </c>
      <c r="E1363" s="199">
        <v>120</v>
      </c>
      <c r="F1363" s="199" t="s">
        <v>4678</v>
      </c>
      <c r="G1363" s="199" t="s">
        <v>4658</v>
      </c>
      <c r="H1363" s="200">
        <v>21500.400000000001</v>
      </c>
      <c r="I1363" s="199" t="s">
        <v>20</v>
      </c>
      <c r="J1363" s="199" t="s">
        <v>415</v>
      </c>
      <c r="K1363" s="201">
        <v>45575</v>
      </c>
      <c r="L1363" s="199" t="s">
        <v>3319</v>
      </c>
      <c r="M1363" s="199" t="s">
        <v>3320</v>
      </c>
    </row>
    <row r="1364" spans="1:13" ht="85.5">
      <c r="A1364" s="199">
        <v>1363</v>
      </c>
      <c r="B1364" s="199" t="s">
        <v>4679</v>
      </c>
      <c r="C1364" s="199" t="s">
        <v>34</v>
      </c>
      <c r="D1364" s="199" t="s">
        <v>35</v>
      </c>
      <c r="E1364" s="199">
        <v>24</v>
      </c>
      <c r="F1364" s="199" t="s">
        <v>890</v>
      </c>
      <c r="G1364" s="199" t="s">
        <v>4658</v>
      </c>
      <c r="H1364" s="200">
        <v>1084.08</v>
      </c>
      <c r="I1364" s="199" t="s">
        <v>20</v>
      </c>
      <c r="J1364" s="199" t="s">
        <v>415</v>
      </c>
      <c r="K1364" s="201">
        <v>45575</v>
      </c>
      <c r="L1364" s="199" t="s">
        <v>3319</v>
      </c>
      <c r="M1364" s="199" t="s">
        <v>3320</v>
      </c>
    </row>
    <row r="1365" spans="1:13" ht="85.5">
      <c r="A1365" s="199">
        <v>1364</v>
      </c>
      <c r="B1365" s="199" t="s">
        <v>4680</v>
      </c>
      <c r="C1365" s="199" t="s">
        <v>34</v>
      </c>
      <c r="D1365" s="199" t="s">
        <v>35</v>
      </c>
      <c r="E1365" s="199">
        <v>16</v>
      </c>
      <c r="F1365" s="199" t="s">
        <v>890</v>
      </c>
      <c r="G1365" s="199" t="s">
        <v>4658</v>
      </c>
      <c r="H1365" s="200">
        <v>722.72</v>
      </c>
      <c r="I1365" s="199" t="s">
        <v>20</v>
      </c>
      <c r="J1365" s="199" t="s">
        <v>415</v>
      </c>
      <c r="K1365" s="201">
        <v>45575</v>
      </c>
      <c r="L1365" s="199" t="s">
        <v>3319</v>
      </c>
      <c r="M1365" s="199" t="s">
        <v>3320</v>
      </c>
    </row>
    <row r="1366" spans="1:13" ht="128.25">
      <c r="A1366" s="199">
        <v>1365</v>
      </c>
      <c r="B1366" s="199" t="s">
        <v>4681</v>
      </c>
      <c r="C1366" s="199" t="s">
        <v>34</v>
      </c>
      <c r="D1366" s="199" t="s">
        <v>35</v>
      </c>
      <c r="E1366" s="199">
        <v>35</v>
      </c>
      <c r="F1366" s="199" t="s">
        <v>510</v>
      </c>
      <c r="G1366" s="199" t="s">
        <v>4658</v>
      </c>
      <c r="H1366" s="200">
        <v>5483.45</v>
      </c>
      <c r="I1366" s="199" t="s">
        <v>20</v>
      </c>
      <c r="J1366" s="199" t="s">
        <v>415</v>
      </c>
      <c r="K1366" s="201">
        <v>45575</v>
      </c>
      <c r="L1366" s="199" t="s">
        <v>3319</v>
      </c>
      <c r="M1366" s="199" t="s">
        <v>3320</v>
      </c>
    </row>
    <row r="1367" spans="1:13" ht="156.75">
      <c r="A1367" s="199">
        <v>1366</v>
      </c>
      <c r="B1367" s="199" t="s">
        <v>4682</v>
      </c>
      <c r="C1367" s="199" t="s">
        <v>34</v>
      </c>
      <c r="D1367" s="199" t="s">
        <v>35</v>
      </c>
      <c r="E1367" s="199">
        <v>170</v>
      </c>
      <c r="F1367" s="199" t="s">
        <v>510</v>
      </c>
      <c r="G1367" s="199" t="s">
        <v>4658</v>
      </c>
      <c r="H1367" s="200">
        <v>76500</v>
      </c>
      <c r="I1367" s="199" t="s">
        <v>20</v>
      </c>
      <c r="J1367" s="199" t="s">
        <v>415</v>
      </c>
      <c r="K1367" s="201">
        <v>45575</v>
      </c>
      <c r="L1367" s="199" t="s">
        <v>3319</v>
      </c>
      <c r="M1367" s="199" t="s">
        <v>3320</v>
      </c>
    </row>
    <row r="1368" spans="1:13" ht="85.5">
      <c r="A1368" s="199">
        <v>1367</v>
      </c>
      <c r="B1368" s="199" t="s">
        <v>4683</v>
      </c>
      <c r="C1368" s="199" t="s">
        <v>34</v>
      </c>
      <c r="D1368" s="199" t="s">
        <v>35</v>
      </c>
      <c r="E1368" s="199">
        <v>3</v>
      </c>
      <c r="F1368" s="199" t="s">
        <v>3313</v>
      </c>
      <c r="G1368" s="199" t="s">
        <v>4658</v>
      </c>
      <c r="H1368" s="200">
        <v>1329.06</v>
      </c>
      <c r="I1368" s="199" t="s">
        <v>20</v>
      </c>
      <c r="J1368" s="199" t="s">
        <v>415</v>
      </c>
      <c r="K1368" s="201">
        <v>45575</v>
      </c>
      <c r="L1368" s="199" t="s">
        <v>3319</v>
      </c>
      <c r="M1368" s="199" t="s">
        <v>3320</v>
      </c>
    </row>
    <row r="1369" spans="1:13" ht="85.5">
      <c r="A1369" s="199">
        <v>1368</v>
      </c>
      <c r="B1369" s="199" t="s">
        <v>4684</v>
      </c>
      <c r="C1369" s="199" t="s">
        <v>34</v>
      </c>
      <c r="D1369" s="199" t="s">
        <v>35</v>
      </c>
      <c r="E1369" s="199">
        <v>85</v>
      </c>
      <c r="F1369" s="199" t="s">
        <v>928</v>
      </c>
      <c r="G1369" s="199" t="s">
        <v>4658</v>
      </c>
      <c r="H1369" s="200">
        <v>12750</v>
      </c>
      <c r="I1369" s="199" t="s">
        <v>20</v>
      </c>
      <c r="J1369" s="199" t="s">
        <v>415</v>
      </c>
      <c r="K1369" s="201">
        <v>45575</v>
      </c>
      <c r="L1369" s="199" t="s">
        <v>3319</v>
      </c>
      <c r="M1369" s="199" t="s">
        <v>3320</v>
      </c>
    </row>
    <row r="1370" spans="1:13" ht="85.5">
      <c r="A1370" s="199">
        <v>1369</v>
      </c>
      <c r="B1370" s="199" t="s">
        <v>4685</v>
      </c>
      <c r="C1370" s="199" t="s">
        <v>34</v>
      </c>
      <c r="D1370" s="199" t="s">
        <v>35</v>
      </c>
      <c r="E1370" s="199">
        <v>25</v>
      </c>
      <c r="F1370" s="199" t="s">
        <v>510</v>
      </c>
      <c r="G1370" s="199" t="s">
        <v>4658</v>
      </c>
      <c r="H1370" s="200">
        <v>6416.75</v>
      </c>
      <c r="I1370" s="199" t="s">
        <v>20</v>
      </c>
      <c r="J1370" s="199" t="s">
        <v>415</v>
      </c>
      <c r="K1370" s="201">
        <v>45575</v>
      </c>
      <c r="L1370" s="199" t="s">
        <v>3319</v>
      </c>
      <c r="M1370" s="199" t="s">
        <v>3320</v>
      </c>
    </row>
    <row r="1371" spans="1:13" ht="85.5">
      <c r="A1371" s="199">
        <v>1370</v>
      </c>
      <c r="B1371" s="199" t="s">
        <v>4686</v>
      </c>
      <c r="C1371" s="199" t="s">
        <v>34</v>
      </c>
      <c r="D1371" s="199" t="s">
        <v>35</v>
      </c>
      <c r="E1371" s="199">
        <v>40</v>
      </c>
      <c r="F1371" s="199" t="s">
        <v>4687</v>
      </c>
      <c r="G1371" s="199" t="s">
        <v>4658</v>
      </c>
      <c r="H1371" s="200">
        <v>4613.2</v>
      </c>
      <c r="I1371" s="199" t="s">
        <v>20</v>
      </c>
      <c r="J1371" s="199" t="s">
        <v>415</v>
      </c>
      <c r="K1371" s="201">
        <v>45575</v>
      </c>
      <c r="L1371" s="199" t="s">
        <v>3319</v>
      </c>
      <c r="M1371" s="199" t="s">
        <v>3320</v>
      </c>
    </row>
    <row r="1372" spans="1:13" ht="85.5">
      <c r="A1372" s="199">
        <v>1371</v>
      </c>
      <c r="B1372" s="199" t="s">
        <v>4688</v>
      </c>
      <c r="C1372" s="199" t="s">
        <v>34</v>
      </c>
      <c r="D1372" s="199" t="s">
        <v>35</v>
      </c>
      <c r="E1372" s="199">
        <v>400</v>
      </c>
      <c r="F1372" s="199" t="s">
        <v>3313</v>
      </c>
      <c r="G1372" s="199" t="s">
        <v>4658</v>
      </c>
      <c r="H1372" s="200">
        <v>6480</v>
      </c>
      <c r="I1372" s="199" t="s">
        <v>20</v>
      </c>
      <c r="J1372" s="199" t="s">
        <v>415</v>
      </c>
      <c r="K1372" s="201">
        <v>45575</v>
      </c>
      <c r="L1372" s="199" t="s">
        <v>3319</v>
      </c>
      <c r="M1372" s="199" t="s">
        <v>3320</v>
      </c>
    </row>
    <row r="1373" spans="1:13" ht="85.5">
      <c r="A1373" s="199">
        <v>1372</v>
      </c>
      <c r="B1373" s="199" t="s">
        <v>4689</v>
      </c>
      <c r="C1373" s="199" t="s">
        <v>34</v>
      </c>
      <c r="D1373" s="199" t="s">
        <v>35</v>
      </c>
      <c r="E1373" s="199">
        <v>300</v>
      </c>
      <c r="F1373" s="199" t="s">
        <v>3313</v>
      </c>
      <c r="G1373" s="199" t="s">
        <v>4658</v>
      </c>
      <c r="H1373" s="200">
        <v>4851</v>
      </c>
      <c r="I1373" s="199" t="s">
        <v>20</v>
      </c>
      <c r="J1373" s="199" t="s">
        <v>415</v>
      </c>
      <c r="K1373" s="201">
        <v>45575</v>
      </c>
      <c r="L1373" s="199" t="s">
        <v>3319</v>
      </c>
      <c r="M1373" s="199" t="s">
        <v>3320</v>
      </c>
    </row>
    <row r="1374" spans="1:13" ht="85.5">
      <c r="A1374" s="199">
        <v>1373</v>
      </c>
      <c r="B1374" s="199" t="s">
        <v>4690</v>
      </c>
      <c r="C1374" s="199" t="s">
        <v>34</v>
      </c>
      <c r="D1374" s="199" t="s">
        <v>35</v>
      </c>
      <c r="E1374" s="199">
        <v>200</v>
      </c>
      <c r="F1374" s="199" t="s">
        <v>3313</v>
      </c>
      <c r="G1374" s="199" t="s">
        <v>4658</v>
      </c>
      <c r="H1374" s="200">
        <v>3260</v>
      </c>
      <c r="I1374" s="199" t="s">
        <v>20</v>
      </c>
      <c r="J1374" s="199" t="s">
        <v>415</v>
      </c>
      <c r="K1374" s="201">
        <v>45575</v>
      </c>
      <c r="L1374" s="199" t="s">
        <v>3319</v>
      </c>
      <c r="M1374" s="199" t="s">
        <v>3320</v>
      </c>
    </row>
    <row r="1375" spans="1:13" ht="85.5">
      <c r="A1375" s="199">
        <v>1374</v>
      </c>
      <c r="B1375" s="199" t="s">
        <v>4690</v>
      </c>
      <c r="C1375" s="199" t="s">
        <v>34</v>
      </c>
      <c r="D1375" s="199" t="s">
        <v>35</v>
      </c>
      <c r="E1375" s="199">
        <v>800</v>
      </c>
      <c r="F1375" s="199" t="s">
        <v>510</v>
      </c>
      <c r="G1375" s="199" t="s">
        <v>4658</v>
      </c>
      <c r="H1375" s="200">
        <v>39816</v>
      </c>
      <c r="I1375" s="199" t="s">
        <v>20</v>
      </c>
      <c r="J1375" s="199" t="s">
        <v>415</v>
      </c>
      <c r="K1375" s="201">
        <v>45575</v>
      </c>
      <c r="L1375" s="199" t="s">
        <v>3319</v>
      </c>
      <c r="M1375" s="199" t="s">
        <v>3320</v>
      </c>
    </row>
    <row r="1376" spans="1:13" ht="85.5">
      <c r="A1376" s="199">
        <v>1375</v>
      </c>
      <c r="B1376" s="199" t="s">
        <v>4691</v>
      </c>
      <c r="C1376" s="199" t="s">
        <v>34</v>
      </c>
      <c r="D1376" s="199" t="s">
        <v>35</v>
      </c>
      <c r="E1376" s="199">
        <v>300</v>
      </c>
      <c r="F1376" s="199" t="s">
        <v>510</v>
      </c>
      <c r="G1376" s="199" t="s">
        <v>4658</v>
      </c>
      <c r="H1376" s="200">
        <v>14931</v>
      </c>
      <c r="I1376" s="199" t="s">
        <v>20</v>
      </c>
      <c r="J1376" s="199" t="s">
        <v>415</v>
      </c>
      <c r="K1376" s="201">
        <v>45575</v>
      </c>
      <c r="L1376" s="199" t="s">
        <v>3319</v>
      </c>
      <c r="M1376" s="199" t="s">
        <v>3320</v>
      </c>
    </row>
    <row r="1377" spans="1:13" ht="85.5">
      <c r="A1377" s="199">
        <v>1376</v>
      </c>
      <c r="B1377" s="199" t="s">
        <v>4692</v>
      </c>
      <c r="C1377" s="199" t="s">
        <v>34</v>
      </c>
      <c r="D1377" s="199" t="s">
        <v>35</v>
      </c>
      <c r="E1377" s="199">
        <v>750</v>
      </c>
      <c r="F1377" s="199" t="s">
        <v>3313</v>
      </c>
      <c r="G1377" s="199" t="s">
        <v>4658</v>
      </c>
      <c r="H1377" s="200">
        <v>750</v>
      </c>
      <c r="I1377" s="199" t="s">
        <v>20</v>
      </c>
      <c r="J1377" s="199" t="s">
        <v>415</v>
      </c>
      <c r="K1377" s="201">
        <v>45575</v>
      </c>
      <c r="L1377" s="199" t="s">
        <v>3319</v>
      </c>
      <c r="M1377" s="199" t="s">
        <v>3320</v>
      </c>
    </row>
    <row r="1378" spans="1:13" ht="85.5">
      <c r="A1378" s="199">
        <v>1377</v>
      </c>
      <c r="B1378" s="199" t="s">
        <v>4693</v>
      </c>
      <c r="C1378" s="199" t="s">
        <v>34</v>
      </c>
      <c r="D1378" s="199" t="s">
        <v>35</v>
      </c>
      <c r="E1378" s="199">
        <v>30</v>
      </c>
      <c r="F1378" s="199" t="s">
        <v>3313</v>
      </c>
      <c r="G1378" s="199" t="s">
        <v>4658</v>
      </c>
      <c r="H1378" s="200">
        <v>2619.9</v>
      </c>
      <c r="I1378" s="199" t="s">
        <v>20</v>
      </c>
      <c r="J1378" s="199" t="s">
        <v>415</v>
      </c>
      <c r="K1378" s="201">
        <v>45575</v>
      </c>
      <c r="L1378" s="199" t="s">
        <v>3319</v>
      </c>
      <c r="M1378" s="199" t="s">
        <v>3320</v>
      </c>
    </row>
    <row r="1379" spans="1:13" ht="85.5">
      <c r="A1379" s="199">
        <v>1378</v>
      </c>
      <c r="B1379" s="199" t="s">
        <v>4694</v>
      </c>
      <c r="C1379" s="199" t="s">
        <v>34</v>
      </c>
      <c r="D1379" s="199" t="s">
        <v>35</v>
      </c>
      <c r="E1379" s="199">
        <v>30</v>
      </c>
      <c r="F1379" s="199" t="s">
        <v>3313</v>
      </c>
      <c r="G1379" s="199" t="s">
        <v>4658</v>
      </c>
      <c r="H1379" s="200">
        <v>2619.9</v>
      </c>
      <c r="I1379" s="199" t="s">
        <v>20</v>
      </c>
      <c r="J1379" s="199" t="s">
        <v>415</v>
      </c>
      <c r="K1379" s="201">
        <v>45575</v>
      </c>
      <c r="L1379" s="199" t="s">
        <v>3319</v>
      </c>
      <c r="M1379" s="199" t="s">
        <v>3320</v>
      </c>
    </row>
    <row r="1380" spans="1:13" ht="85.5">
      <c r="A1380" s="199">
        <v>1379</v>
      </c>
      <c r="B1380" s="199" t="s">
        <v>4695</v>
      </c>
      <c r="C1380" s="199" t="s">
        <v>34</v>
      </c>
      <c r="D1380" s="199" t="s">
        <v>35</v>
      </c>
      <c r="E1380" s="199">
        <v>750</v>
      </c>
      <c r="F1380" s="199" t="s">
        <v>510</v>
      </c>
      <c r="G1380" s="199" t="s">
        <v>4658</v>
      </c>
      <c r="H1380" s="200">
        <v>51750</v>
      </c>
      <c r="I1380" s="199" t="s">
        <v>20</v>
      </c>
      <c r="J1380" s="199" t="s">
        <v>415</v>
      </c>
      <c r="K1380" s="201">
        <v>45575</v>
      </c>
      <c r="L1380" s="199" t="s">
        <v>3319</v>
      </c>
      <c r="M1380" s="199" t="s">
        <v>3320</v>
      </c>
    </row>
    <row r="1381" spans="1:13" ht="85.5">
      <c r="A1381" s="199">
        <v>1380</v>
      </c>
      <c r="B1381" s="199" t="s">
        <v>4696</v>
      </c>
      <c r="C1381" s="199" t="s">
        <v>34</v>
      </c>
      <c r="D1381" s="199" t="s">
        <v>35</v>
      </c>
      <c r="E1381" s="199">
        <v>450</v>
      </c>
      <c r="F1381" s="199" t="s">
        <v>510</v>
      </c>
      <c r="G1381" s="199" t="s">
        <v>4658</v>
      </c>
      <c r="H1381" s="200">
        <v>39748.5</v>
      </c>
      <c r="I1381" s="199" t="s">
        <v>20</v>
      </c>
      <c r="J1381" s="199" t="s">
        <v>415</v>
      </c>
      <c r="K1381" s="201">
        <v>45575</v>
      </c>
      <c r="L1381" s="199" t="s">
        <v>3319</v>
      </c>
      <c r="M1381" s="199" t="s">
        <v>3320</v>
      </c>
    </row>
    <row r="1382" spans="1:13" ht="85.5">
      <c r="A1382" s="199">
        <v>1381</v>
      </c>
      <c r="B1382" s="199" t="s">
        <v>4697</v>
      </c>
      <c r="C1382" s="199" t="s">
        <v>34</v>
      </c>
      <c r="D1382" s="199" t="s">
        <v>35</v>
      </c>
      <c r="E1382" s="199">
        <v>250</v>
      </c>
      <c r="F1382" s="199" t="s">
        <v>510</v>
      </c>
      <c r="G1382" s="199" t="s">
        <v>4658</v>
      </c>
      <c r="H1382" s="200">
        <v>22167.5</v>
      </c>
      <c r="I1382" s="199" t="s">
        <v>20</v>
      </c>
      <c r="J1382" s="199" t="s">
        <v>415</v>
      </c>
      <c r="K1382" s="201">
        <v>45575</v>
      </c>
      <c r="L1382" s="199" t="s">
        <v>3319</v>
      </c>
      <c r="M1382" s="199" t="s">
        <v>3320</v>
      </c>
    </row>
    <row r="1383" spans="1:13" ht="85.5">
      <c r="A1383" s="199">
        <v>1382</v>
      </c>
      <c r="B1383" s="199" t="s">
        <v>4698</v>
      </c>
      <c r="C1383" s="199" t="s">
        <v>34</v>
      </c>
      <c r="D1383" s="199" t="s">
        <v>35</v>
      </c>
      <c r="E1383" s="199">
        <v>800</v>
      </c>
      <c r="F1383" s="199" t="s">
        <v>510</v>
      </c>
      <c r="G1383" s="199" t="s">
        <v>4658</v>
      </c>
      <c r="H1383" s="200">
        <v>80000</v>
      </c>
      <c r="I1383" s="199" t="s">
        <v>20</v>
      </c>
      <c r="J1383" s="199" t="s">
        <v>415</v>
      </c>
      <c r="K1383" s="201">
        <v>45575</v>
      </c>
      <c r="L1383" s="199" t="s">
        <v>3319</v>
      </c>
      <c r="M1383" s="199" t="s">
        <v>3320</v>
      </c>
    </row>
    <row r="1384" spans="1:13" ht="85.5">
      <c r="A1384" s="199">
        <v>1383</v>
      </c>
      <c r="B1384" s="199" t="s">
        <v>4699</v>
      </c>
      <c r="C1384" s="199" t="s">
        <v>34</v>
      </c>
      <c r="D1384" s="199" t="s">
        <v>35</v>
      </c>
      <c r="E1384" s="199">
        <v>1000</v>
      </c>
      <c r="F1384" s="199" t="s">
        <v>510</v>
      </c>
      <c r="G1384" s="199" t="s">
        <v>4658</v>
      </c>
      <c r="H1384" s="200">
        <v>130000</v>
      </c>
      <c r="I1384" s="199" t="s">
        <v>20</v>
      </c>
      <c r="J1384" s="199" t="s">
        <v>415</v>
      </c>
      <c r="K1384" s="201">
        <v>45575</v>
      </c>
      <c r="L1384" s="199" t="s">
        <v>3319</v>
      </c>
      <c r="M1384" s="199" t="s">
        <v>3320</v>
      </c>
    </row>
    <row r="1385" spans="1:13" ht="85.5">
      <c r="A1385" s="199">
        <v>1384</v>
      </c>
      <c r="B1385" s="199" t="s">
        <v>4700</v>
      </c>
      <c r="C1385" s="199" t="s">
        <v>34</v>
      </c>
      <c r="D1385" s="199" t="s">
        <v>35</v>
      </c>
      <c r="E1385" s="199">
        <v>200</v>
      </c>
      <c r="F1385" s="199" t="s">
        <v>510</v>
      </c>
      <c r="G1385" s="199" t="s">
        <v>4658</v>
      </c>
      <c r="H1385" s="200">
        <v>29734</v>
      </c>
      <c r="I1385" s="199" t="s">
        <v>20</v>
      </c>
      <c r="J1385" s="199" t="s">
        <v>415</v>
      </c>
      <c r="K1385" s="201">
        <v>45575</v>
      </c>
      <c r="L1385" s="199" t="s">
        <v>3319</v>
      </c>
      <c r="M1385" s="199" t="s">
        <v>3320</v>
      </c>
    </row>
    <row r="1386" spans="1:13" ht="85.5">
      <c r="A1386" s="199">
        <v>1385</v>
      </c>
      <c r="B1386" s="199" t="s">
        <v>4701</v>
      </c>
      <c r="C1386" s="199" t="s">
        <v>34</v>
      </c>
      <c r="D1386" s="199" t="s">
        <v>35</v>
      </c>
      <c r="E1386" s="199">
        <v>200</v>
      </c>
      <c r="F1386" s="199" t="s">
        <v>890</v>
      </c>
      <c r="G1386" s="199" t="s">
        <v>4658</v>
      </c>
      <c r="H1386" s="200">
        <v>1726</v>
      </c>
      <c r="I1386" s="199" t="s">
        <v>20</v>
      </c>
      <c r="J1386" s="199" t="s">
        <v>415</v>
      </c>
      <c r="K1386" s="201">
        <v>45575</v>
      </c>
      <c r="L1386" s="199" t="s">
        <v>3319</v>
      </c>
      <c r="M1386" s="199" t="s">
        <v>3320</v>
      </c>
    </row>
    <row r="1387" spans="1:13" ht="85.5">
      <c r="A1387" s="199">
        <v>1386</v>
      </c>
      <c r="B1387" s="199" t="s">
        <v>4702</v>
      </c>
      <c r="C1387" s="199" t="s">
        <v>34</v>
      </c>
      <c r="D1387" s="199" t="s">
        <v>35</v>
      </c>
      <c r="E1387" s="199">
        <v>30</v>
      </c>
      <c r="F1387" s="199" t="s">
        <v>890</v>
      </c>
      <c r="G1387" s="199" t="s">
        <v>4658</v>
      </c>
      <c r="H1387" s="200">
        <v>456.9</v>
      </c>
      <c r="I1387" s="199" t="s">
        <v>20</v>
      </c>
      <c r="J1387" s="199" t="s">
        <v>415</v>
      </c>
      <c r="K1387" s="201">
        <v>45575</v>
      </c>
      <c r="L1387" s="199" t="s">
        <v>3319</v>
      </c>
      <c r="M1387" s="199" t="s">
        <v>3320</v>
      </c>
    </row>
    <row r="1388" spans="1:13" ht="85.5">
      <c r="A1388" s="199">
        <v>1387</v>
      </c>
      <c r="B1388" s="199" t="s">
        <v>4703</v>
      </c>
      <c r="C1388" s="199" t="s">
        <v>34</v>
      </c>
      <c r="D1388" s="199" t="s">
        <v>35</v>
      </c>
      <c r="E1388" s="199">
        <v>15</v>
      </c>
      <c r="F1388" s="199" t="s">
        <v>890</v>
      </c>
      <c r="G1388" s="199" t="s">
        <v>4658</v>
      </c>
      <c r="H1388" s="200">
        <v>2190</v>
      </c>
      <c r="I1388" s="199" t="s">
        <v>20</v>
      </c>
      <c r="J1388" s="199" t="s">
        <v>415</v>
      </c>
      <c r="K1388" s="201">
        <v>45575</v>
      </c>
      <c r="L1388" s="199" t="s">
        <v>3319</v>
      </c>
      <c r="M1388" s="199" t="s">
        <v>3320</v>
      </c>
    </row>
    <row r="1389" spans="1:13" ht="85.5">
      <c r="A1389" s="199">
        <v>1388</v>
      </c>
      <c r="B1389" s="199" t="s">
        <v>4704</v>
      </c>
      <c r="C1389" s="199" t="s">
        <v>34</v>
      </c>
      <c r="D1389" s="199" t="s">
        <v>35</v>
      </c>
      <c r="E1389" s="199">
        <v>10</v>
      </c>
      <c r="F1389" s="199" t="s">
        <v>890</v>
      </c>
      <c r="G1389" s="199" t="s">
        <v>4658</v>
      </c>
      <c r="H1389" s="200">
        <v>443.3</v>
      </c>
      <c r="I1389" s="199" t="s">
        <v>20</v>
      </c>
      <c r="J1389" s="199" t="s">
        <v>415</v>
      </c>
      <c r="K1389" s="201">
        <v>45575</v>
      </c>
      <c r="L1389" s="199" t="s">
        <v>3319</v>
      </c>
      <c r="M1389" s="199" t="s">
        <v>3320</v>
      </c>
    </row>
    <row r="1390" spans="1:13" ht="85.5">
      <c r="A1390" s="199">
        <v>1389</v>
      </c>
      <c r="B1390" s="199" t="s">
        <v>4705</v>
      </c>
      <c r="C1390" s="199" t="s">
        <v>34</v>
      </c>
      <c r="D1390" s="199" t="s">
        <v>35</v>
      </c>
      <c r="E1390" s="199">
        <v>10</v>
      </c>
      <c r="F1390" s="199" t="s">
        <v>890</v>
      </c>
      <c r="G1390" s="199" t="s">
        <v>4658</v>
      </c>
      <c r="H1390" s="200">
        <v>280</v>
      </c>
      <c r="I1390" s="199" t="s">
        <v>20</v>
      </c>
      <c r="J1390" s="199" t="s">
        <v>415</v>
      </c>
      <c r="K1390" s="201">
        <v>45575</v>
      </c>
      <c r="L1390" s="199" t="s">
        <v>3319</v>
      </c>
      <c r="M1390" s="199" t="s">
        <v>3320</v>
      </c>
    </row>
    <row r="1391" spans="1:13" ht="85.5">
      <c r="A1391" s="199">
        <v>1390</v>
      </c>
      <c r="B1391" s="199" t="s">
        <v>4706</v>
      </c>
      <c r="C1391" s="199" t="s">
        <v>34</v>
      </c>
      <c r="D1391" s="199" t="s">
        <v>35</v>
      </c>
      <c r="E1391" s="199">
        <v>40</v>
      </c>
      <c r="F1391" s="199" t="s">
        <v>510</v>
      </c>
      <c r="G1391" s="199" t="s">
        <v>4658</v>
      </c>
      <c r="H1391" s="200">
        <v>2373.1999999999998</v>
      </c>
      <c r="I1391" s="199" t="s">
        <v>20</v>
      </c>
      <c r="J1391" s="199" t="s">
        <v>415</v>
      </c>
      <c r="K1391" s="201">
        <v>45575</v>
      </c>
      <c r="L1391" s="199" t="s">
        <v>3319</v>
      </c>
      <c r="M1391" s="199" t="s">
        <v>3320</v>
      </c>
    </row>
    <row r="1392" spans="1:13" ht="85.5">
      <c r="A1392" s="199">
        <v>1391</v>
      </c>
      <c r="B1392" s="199" t="s">
        <v>4707</v>
      </c>
      <c r="C1392" s="199" t="s">
        <v>34</v>
      </c>
      <c r="D1392" s="199" t="s">
        <v>35</v>
      </c>
      <c r="E1392" s="199">
        <v>22</v>
      </c>
      <c r="F1392" s="199" t="s">
        <v>510</v>
      </c>
      <c r="G1392" s="199" t="s">
        <v>4658</v>
      </c>
      <c r="H1392" s="200">
        <v>531.74</v>
      </c>
      <c r="I1392" s="199" t="s">
        <v>20</v>
      </c>
      <c r="J1392" s="199" t="s">
        <v>415</v>
      </c>
      <c r="K1392" s="201">
        <v>45575</v>
      </c>
      <c r="L1392" s="199" t="s">
        <v>3319</v>
      </c>
      <c r="M1392" s="199" t="s">
        <v>3320</v>
      </c>
    </row>
    <row r="1393" spans="1:13" ht="85.5">
      <c r="A1393" s="199">
        <v>1392</v>
      </c>
      <c r="B1393" s="199" t="s">
        <v>4708</v>
      </c>
      <c r="C1393" s="199" t="s">
        <v>34</v>
      </c>
      <c r="D1393" s="199" t="s">
        <v>35</v>
      </c>
      <c r="E1393" s="199">
        <v>200</v>
      </c>
      <c r="F1393" s="199" t="s">
        <v>510</v>
      </c>
      <c r="G1393" s="199" t="s">
        <v>4658</v>
      </c>
      <c r="H1393" s="200">
        <v>940</v>
      </c>
      <c r="I1393" s="199" t="s">
        <v>20</v>
      </c>
      <c r="J1393" s="199" t="s">
        <v>415</v>
      </c>
      <c r="K1393" s="201">
        <v>45575</v>
      </c>
      <c r="L1393" s="199" t="s">
        <v>3319</v>
      </c>
      <c r="M1393" s="199" t="s">
        <v>3320</v>
      </c>
    </row>
    <row r="1394" spans="1:13" ht="99.75">
      <c r="A1394" s="199">
        <v>1393</v>
      </c>
      <c r="B1394" s="199" t="s">
        <v>4709</v>
      </c>
      <c r="C1394" s="199" t="s">
        <v>34</v>
      </c>
      <c r="D1394" s="199" t="s">
        <v>35</v>
      </c>
      <c r="E1394" s="199">
        <v>15</v>
      </c>
      <c r="F1394" s="199" t="s">
        <v>510</v>
      </c>
      <c r="G1394" s="199" t="s">
        <v>4658</v>
      </c>
      <c r="H1394" s="200">
        <v>514.95000000000005</v>
      </c>
      <c r="I1394" s="199" t="s">
        <v>20</v>
      </c>
      <c r="J1394" s="199" t="s">
        <v>415</v>
      </c>
      <c r="K1394" s="201">
        <v>45575</v>
      </c>
      <c r="L1394" s="199" t="s">
        <v>3319</v>
      </c>
      <c r="M1394" s="199" t="s">
        <v>3320</v>
      </c>
    </row>
    <row r="1395" spans="1:13" ht="85.5">
      <c r="A1395" s="199">
        <v>1394</v>
      </c>
      <c r="B1395" s="199" t="s">
        <v>4710</v>
      </c>
      <c r="C1395" s="199" t="s">
        <v>34</v>
      </c>
      <c r="D1395" s="199" t="s">
        <v>35</v>
      </c>
      <c r="E1395" s="199">
        <v>10</v>
      </c>
      <c r="F1395" s="199" t="s">
        <v>3313</v>
      </c>
      <c r="G1395" s="199" t="s">
        <v>4658</v>
      </c>
      <c r="H1395" s="200">
        <v>883.3</v>
      </c>
      <c r="I1395" s="199" t="s">
        <v>20</v>
      </c>
      <c r="J1395" s="199" t="s">
        <v>415</v>
      </c>
      <c r="K1395" s="201">
        <v>45575</v>
      </c>
      <c r="L1395" s="199" t="s">
        <v>3319</v>
      </c>
      <c r="M1395" s="199" t="s">
        <v>3320</v>
      </c>
    </row>
    <row r="1396" spans="1:13" ht="85.5">
      <c r="A1396" s="199">
        <v>1395</v>
      </c>
      <c r="B1396" s="199" t="s">
        <v>4711</v>
      </c>
      <c r="C1396" s="199" t="s">
        <v>34</v>
      </c>
      <c r="D1396" s="199" t="s">
        <v>35</v>
      </c>
      <c r="E1396" s="202">
        <v>30000</v>
      </c>
      <c r="F1396" s="199" t="s">
        <v>3313</v>
      </c>
      <c r="G1396" s="199" t="s">
        <v>4658</v>
      </c>
      <c r="H1396" s="200">
        <v>29400</v>
      </c>
      <c r="I1396" s="199" t="s">
        <v>20</v>
      </c>
      <c r="J1396" s="199" t="s">
        <v>415</v>
      </c>
      <c r="K1396" s="201">
        <v>45575</v>
      </c>
      <c r="L1396" s="199" t="s">
        <v>3319</v>
      </c>
      <c r="M1396" s="199" t="s">
        <v>3320</v>
      </c>
    </row>
    <row r="1397" spans="1:13" ht="85.5">
      <c r="A1397" s="199">
        <v>1396</v>
      </c>
      <c r="B1397" s="199" t="s">
        <v>4712</v>
      </c>
      <c r="C1397" s="199" t="s">
        <v>34</v>
      </c>
      <c r="D1397" s="199" t="s">
        <v>35</v>
      </c>
      <c r="E1397" s="199">
        <v>25</v>
      </c>
      <c r="F1397" s="199" t="s">
        <v>890</v>
      </c>
      <c r="G1397" s="199" t="s">
        <v>4658</v>
      </c>
      <c r="H1397" s="200">
        <v>1541.75</v>
      </c>
      <c r="I1397" s="199" t="s">
        <v>20</v>
      </c>
      <c r="J1397" s="199" t="s">
        <v>415</v>
      </c>
      <c r="K1397" s="201">
        <v>45575</v>
      </c>
      <c r="L1397" s="199" t="s">
        <v>3319</v>
      </c>
      <c r="M1397" s="199" t="s">
        <v>3320</v>
      </c>
    </row>
    <row r="1398" spans="1:13" ht="85.5">
      <c r="A1398" s="199">
        <v>1397</v>
      </c>
      <c r="B1398" s="199" t="s">
        <v>4713</v>
      </c>
      <c r="C1398" s="199" t="s">
        <v>34</v>
      </c>
      <c r="D1398" s="199" t="s">
        <v>35</v>
      </c>
      <c r="E1398" s="199">
        <v>6</v>
      </c>
      <c r="F1398" s="199" t="s">
        <v>4714</v>
      </c>
      <c r="G1398" s="199" t="s">
        <v>4658</v>
      </c>
      <c r="H1398" s="200">
        <v>6079.98</v>
      </c>
      <c r="I1398" s="199" t="s">
        <v>20</v>
      </c>
      <c r="J1398" s="199" t="s">
        <v>415</v>
      </c>
      <c r="K1398" s="201">
        <v>45575</v>
      </c>
      <c r="L1398" s="199" t="s">
        <v>3319</v>
      </c>
      <c r="M1398" s="199" t="s">
        <v>3320</v>
      </c>
    </row>
    <row r="1399" spans="1:13" ht="85.5">
      <c r="A1399" s="199">
        <v>1398</v>
      </c>
      <c r="B1399" s="199" t="s">
        <v>4715</v>
      </c>
      <c r="C1399" s="199" t="s">
        <v>34</v>
      </c>
      <c r="D1399" s="199" t="s">
        <v>35</v>
      </c>
      <c r="E1399" s="199">
        <v>12</v>
      </c>
      <c r="F1399" s="199" t="s">
        <v>3313</v>
      </c>
      <c r="G1399" s="199" t="s">
        <v>4658</v>
      </c>
      <c r="H1399" s="200">
        <v>1256.04</v>
      </c>
      <c r="I1399" s="199" t="s">
        <v>20</v>
      </c>
      <c r="J1399" s="199" t="s">
        <v>415</v>
      </c>
      <c r="K1399" s="201">
        <v>45575</v>
      </c>
      <c r="L1399" s="199" t="s">
        <v>3319</v>
      </c>
      <c r="M1399" s="199" t="s">
        <v>3320</v>
      </c>
    </row>
    <row r="1400" spans="1:13" ht="85.5">
      <c r="A1400" s="199">
        <v>1399</v>
      </c>
      <c r="B1400" s="199" t="s">
        <v>4716</v>
      </c>
      <c r="C1400" s="199" t="s">
        <v>34</v>
      </c>
      <c r="D1400" s="199" t="s">
        <v>35</v>
      </c>
      <c r="E1400" s="199">
        <v>20</v>
      </c>
      <c r="F1400" s="199" t="s">
        <v>3313</v>
      </c>
      <c r="G1400" s="199" t="s">
        <v>4658</v>
      </c>
      <c r="H1400" s="200">
        <v>1633.4</v>
      </c>
      <c r="I1400" s="199" t="s">
        <v>20</v>
      </c>
      <c r="J1400" s="199" t="s">
        <v>415</v>
      </c>
      <c r="K1400" s="201">
        <v>45575</v>
      </c>
      <c r="L1400" s="199" t="s">
        <v>3319</v>
      </c>
      <c r="M1400" s="199" t="s">
        <v>3320</v>
      </c>
    </row>
    <row r="1401" spans="1:13" ht="85.5">
      <c r="A1401" s="199">
        <v>1400</v>
      </c>
      <c r="B1401" s="199" t="s">
        <v>4717</v>
      </c>
      <c r="C1401" s="199" t="s">
        <v>34</v>
      </c>
      <c r="D1401" s="199" t="s">
        <v>35</v>
      </c>
      <c r="E1401" s="199">
        <v>15</v>
      </c>
      <c r="F1401" s="199" t="s">
        <v>2378</v>
      </c>
      <c r="G1401" s="199" t="s">
        <v>4658</v>
      </c>
      <c r="H1401" s="200">
        <v>349.95</v>
      </c>
      <c r="I1401" s="199" t="s">
        <v>20</v>
      </c>
      <c r="J1401" s="199" t="s">
        <v>415</v>
      </c>
      <c r="K1401" s="201">
        <v>45575</v>
      </c>
      <c r="L1401" s="199" t="s">
        <v>3319</v>
      </c>
      <c r="M1401" s="199" t="s">
        <v>3320</v>
      </c>
    </row>
    <row r="1402" spans="1:13" ht="85.5">
      <c r="A1402" s="199">
        <v>1401</v>
      </c>
      <c r="B1402" s="199" t="s">
        <v>4718</v>
      </c>
      <c r="C1402" s="199" t="s">
        <v>34</v>
      </c>
      <c r="D1402" s="199" t="s">
        <v>35</v>
      </c>
      <c r="E1402" s="199">
        <v>3</v>
      </c>
      <c r="F1402" s="199" t="s">
        <v>2076</v>
      </c>
      <c r="G1402" s="199" t="s">
        <v>4658</v>
      </c>
      <c r="H1402" s="200">
        <v>405</v>
      </c>
      <c r="I1402" s="199" t="s">
        <v>20</v>
      </c>
      <c r="J1402" s="199" t="s">
        <v>415</v>
      </c>
      <c r="K1402" s="201">
        <v>45575</v>
      </c>
      <c r="L1402" s="199" t="s">
        <v>3319</v>
      </c>
      <c r="M1402" s="199" t="s">
        <v>3320</v>
      </c>
    </row>
    <row r="1403" spans="1:13" ht="85.5">
      <c r="A1403" s="199">
        <v>1402</v>
      </c>
      <c r="B1403" s="199" t="s">
        <v>4719</v>
      </c>
      <c r="C1403" s="199" t="s">
        <v>34</v>
      </c>
      <c r="D1403" s="199" t="s">
        <v>35</v>
      </c>
      <c r="E1403" s="199">
        <v>2</v>
      </c>
      <c r="F1403" s="199" t="s">
        <v>2076</v>
      </c>
      <c r="G1403" s="199" t="s">
        <v>4658</v>
      </c>
      <c r="H1403" s="200">
        <v>176.66</v>
      </c>
      <c r="I1403" s="199" t="s">
        <v>20</v>
      </c>
      <c r="J1403" s="199" t="s">
        <v>415</v>
      </c>
      <c r="K1403" s="201">
        <v>45575</v>
      </c>
      <c r="L1403" s="199" t="s">
        <v>3319</v>
      </c>
      <c r="M1403" s="199" t="s">
        <v>3320</v>
      </c>
    </row>
    <row r="1404" spans="1:13" ht="85.5">
      <c r="A1404" s="199">
        <v>1403</v>
      </c>
      <c r="B1404" s="199" t="s">
        <v>4720</v>
      </c>
      <c r="C1404" s="199" t="s">
        <v>34</v>
      </c>
      <c r="D1404" s="199" t="s">
        <v>35</v>
      </c>
      <c r="E1404" s="199">
        <v>2</v>
      </c>
      <c r="F1404" s="199" t="s">
        <v>3313</v>
      </c>
      <c r="G1404" s="199" t="s">
        <v>4658</v>
      </c>
      <c r="H1404" s="200">
        <v>562.66</v>
      </c>
      <c r="I1404" s="199" t="s">
        <v>20</v>
      </c>
      <c r="J1404" s="199" t="s">
        <v>415</v>
      </c>
      <c r="K1404" s="201">
        <v>45575</v>
      </c>
      <c r="L1404" s="199" t="s">
        <v>3319</v>
      </c>
      <c r="M1404" s="199" t="s">
        <v>3320</v>
      </c>
    </row>
    <row r="1405" spans="1:13" ht="85.5">
      <c r="A1405" s="199">
        <v>1404</v>
      </c>
      <c r="B1405" s="199" t="s">
        <v>4721</v>
      </c>
      <c r="C1405" s="199" t="s">
        <v>34</v>
      </c>
      <c r="D1405" s="199" t="s">
        <v>35</v>
      </c>
      <c r="E1405" s="199">
        <v>12</v>
      </c>
      <c r="F1405" s="199" t="s">
        <v>2378</v>
      </c>
      <c r="G1405" s="199" t="s">
        <v>4658</v>
      </c>
      <c r="H1405" s="200">
        <v>1227.96</v>
      </c>
      <c r="I1405" s="199" t="s">
        <v>20</v>
      </c>
      <c r="J1405" s="199" t="s">
        <v>415</v>
      </c>
      <c r="K1405" s="201">
        <v>45575</v>
      </c>
      <c r="L1405" s="199" t="s">
        <v>3319</v>
      </c>
      <c r="M1405" s="199" t="s">
        <v>3320</v>
      </c>
    </row>
    <row r="1406" spans="1:13" ht="142.5">
      <c r="A1406" s="199">
        <v>1405</v>
      </c>
      <c r="B1406" s="199" t="s">
        <v>4722</v>
      </c>
      <c r="C1406" s="199" t="s">
        <v>34</v>
      </c>
      <c r="D1406" s="199" t="s">
        <v>35</v>
      </c>
      <c r="E1406" s="199">
        <v>150</v>
      </c>
      <c r="F1406" s="199" t="s">
        <v>3313</v>
      </c>
      <c r="G1406" s="199" t="s">
        <v>4658</v>
      </c>
      <c r="H1406" s="200">
        <v>7495.5</v>
      </c>
      <c r="I1406" s="199" t="s">
        <v>20</v>
      </c>
      <c r="J1406" s="199" t="s">
        <v>415</v>
      </c>
      <c r="K1406" s="201">
        <v>45575</v>
      </c>
      <c r="L1406" s="199" t="s">
        <v>3319</v>
      </c>
      <c r="M1406" s="199" t="s">
        <v>3320</v>
      </c>
    </row>
    <row r="1407" spans="1:13" ht="171">
      <c r="A1407" s="199">
        <v>1406</v>
      </c>
      <c r="B1407" s="199" t="s">
        <v>4723</v>
      </c>
      <c r="C1407" s="199" t="s">
        <v>34</v>
      </c>
      <c r="D1407" s="199" t="s">
        <v>35</v>
      </c>
      <c r="E1407" s="199">
        <v>400</v>
      </c>
      <c r="F1407" s="199" t="s">
        <v>3313</v>
      </c>
      <c r="G1407" s="199" t="s">
        <v>4658</v>
      </c>
      <c r="H1407" s="200">
        <v>19732</v>
      </c>
      <c r="I1407" s="199" t="s">
        <v>20</v>
      </c>
      <c r="J1407" s="199" t="s">
        <v>415</v>
      </c>
      <c r="K1407" s="201">
        <v>45575</v>
      </c>
      <c r="L1407" s="199" t="s">
        <v>3319</v>
      </c>
      <c r="M1407" s="199" t="s">
        <v>3320</v>
      </c>
    </row>
    <row r="1408" spans="1:13" ht="85.5">
      <c r="A1408" s="199">
        <v>1407</v>
      </c>
      <c r="B1408" s="199" t="s">
        <v>4724</v>
      </c>
      <c r="C1408" s="199" t="s">
        <v>34</v>
      </c>
      <c r="D1408" s="199" t="s">
        <v>35</v>
      </c>
      <c r="E1408" s="199">
        <v>18</v>
      </c>
      <c r="F1408" s="199" t="s">
        <v>510</v>
      </c>
      <c r="G1408" s="199" t="s">
        <v>4658</v>
      </c>
      <c r="H1408" s="200">
        <v>1440</v>
      </c>
      <c r="I1408" s="199" t="s">
        <v>20</v>
      </c>
      <c r="J1408" s="199" t="s">
        <v>415</v>
      </c>
      <c r="K1408" s="201">
        <v>45575</v>
      </c>
      <c r="L1408" s="199" t="s">
        <v>3319</v>
      </c>
      <c r="M1408" s="199" t="s">
        <v>3320</v>
      </c>
    </row>
    <row r="1409" spans="1:13" ht="85.5">
      <c r="A1409" s="199">
        <v>1408</v>
      </c>
      <c r="B1409" s="199" t="s">
        <v>4725</v>
      </c>
      <c r="C1409" s="199" t="s">
        <v>34</v>
      </c>
      <c r="D1409" s="199" t="s">
        <v>35</v>
      </c>
      <c r="E1409" s="199">
        <v>18</v>
      </c>
      <c r="F1409" s="199" t="s">
        <v>2378</v>
      </c>
      <c r="G1409" s="199" t="s">
        <v>4658</v>
      </c>
      <c r="H1409" s="200">
        <v>792</v>
      </c>
      <c r="I1409" s="199" t="s">
        <v>20</v>
      </c>
      <c r="J1409" s="199" t="s">
        <v>415</v>
      </c>
      <c r="K1409" s="201">
        <v>45575</v>
      </c>
      <c r="L1409" s="199" t="s">
        <v>3319</v>
      </c>
      <c r="M1409" s="199" t="s">
        <v>3320</v>
      </c>
    </row>
    <row r="1410" spans="1:13" ht="99.75">
      <c r="A1410" s="199">
        <v>1409</v>
      </c>
      <c r="B1410" s="199" t="s">
        <v>4726</v>
      </c>
      <c r="C1410" s="199" t="s">
        <v>34</v>
      </c>
      <c r="D1410" s="199" t="s">
        <v>35</v>
      </c>
      <c r="E1410" s="199">
        <v>6</v>
      </c>
      <c r="F1410" s="199" t="s">
        <v>1277</v>
      </c>
      <c r="G1410" s="199" t="s">
        <v>4658</v>
      </c>
      <c r="H1410" s="200">
        <v>1320</v>
      </c>
      <c r="I1410" s="199" t="s">
        <v>20</v>
      </c>
      <c r="J1410" s="199" t="s">
        <v>415</v>
      </c>
      <c r="K1410" s="201">
        <v>45575</v>
      </c>
      <c r="L1410" s="199" t="s">
        <v>3319</v>
      </c>
      <c r="M1410" s="199" t="s">
        <v>3320</v>
      </c>
    </row>
    <row r="1411" spans="1:13" ht="85.5">
      <c r="A1411" s="199">
        <v>1410</v>
      </c>
      <c r="B1411" s="199" t="s">
        <v>4727</v>
      </c>
      <c r="C1411" s="199" t="s">
        <v>34</v>
      </c>
      <c r="D1411" s="199" t="s">
        <v>35</v>
      </c>
      <c r="E1411" s="199">
        <v>5</v>
      </c>
      <c r="F1411" s="199" t="s">
        <v>2378</v>
      </c>
      <c r="G1411" s="199" t="s">
        <v>4658</v>
      </c>
      <c r="H1411" s="200">
        <v>1081.6500000000001</v>
      </c>
      <c r="I1411" s="199" t="s">
        <v>20</v>
      </c>
      <c r="J1411" s="199" t="s">
        <v>415</v>
      </c>
      <c r="K1411" s="201">
        <v>45575</v>
      </c>
      <c r="L1411" s="199" t="s">
        <v>3319</v>
      </c>
      <c r="M1411" s="199" t="s">
        <v>3320</v>
      </c>
    </row>
    <row r="1412" spans="1:13" ht="85.5">
      <c r="A1412" s="199">
        <v>1411</v>
      </c>
      <c r="B1412" s="199" t="s">
        <v>4728</v>
      </c>
      <c r="C1412" s="199" t="s">
        <v>34</v>
      </c>
      <c r="D1412" s="199" t="s">
        <v>35</v>
      </c>
      <c r="E1412" s="199">
        <v>280</v>
      </c>
      <c r="F1412" s="199" t="s">
        <v>3313</v>
      </c>
      <c r="G1412" s="199" t="s">
        <v>4658</v>
      </c>
      <c r="H1412" s="200">
        <v>1895.6</v>
      </c>
      <c r="I1412" s="199" t="s">
        <v>20</v>
      </c>
      <c r="J1412" s="199" t="s">
        <v>415</v>
      </c>
      <c r="K1412" s="201">
        <v>45575</v>
      </c>
      <c r="L1412" s="199" t="s">
        <v>3319</v>
      </c>
      <c r="M1412" s="199" t="s">
        <v>3320</v>
      </c>
    </row>
    <row r="1413" spans="1:13" ht="85.5">
      <c r="A1413" s="199">
        <v>1412</v>
      </c>
      <c r="B1413" s="199" t="s">
        <v>4729</v>
      </c>
      <c r="C1413" s="199" t="s">
        <v>34</v>
      </c>
      <c r="D1413" s="199" t="s">
        <v>35</v>
      </c>
      <c r="E1413" s="199">
        <v>600</v>
      </c>
      <c r="F1413" s="199" t="s">
        <v>3313</v>
      </c>
      <c r="G1413" s="199" t="s">
        <v>4658</v>
      </c>
      <c r="H1413" s="200">
        <v>4062</v>
      </c>
      <c r="I1413" s="199" t="s">
        <v>20</v>
      </c>
      <c r="J1413" s="199" t="s">
        <v>415</v>
      </c>
      <c r="K1413" s="201">
        <v>45575</v>
      </c>
      <c r="L1413" s="199" t="s">
        <v>3319</v>
      </c>
      <c r="M1413" s="199" t="s">
        <v>3320</v>
      </c>
    </row>
    <row r="1414" spans="1:13" ht="85.5">
      <c r="A1414" s="199">
        <v>1413</v>
      </c>
      <c r="B1414" s="199" t="s">
        <v>4730</v>
      </c>
      <c r="C1414" s="199" t="s">
        <v>34</v>
      </c>
      <c r="D1414" s="199" t="s">
        <v>35</v>
      </c>
      <c r="E1414" s="199">
        <v>80</v>
      </c>
      <c r="F1414" s="199" t="s">
        <v>1085</v>
      </c>
      <c r="G1414" s="199" t="s">
        <v>4658</v>
      </c>
      <c r="H1414" s="200">
        <v>3413.6</v>
      </c>
      <c r="I1414" s="199" t="s">
        <v>20</v>
      </c>
      <c r="J1414" s="199" t="s">
        <v>415</v>
      </c>
      <c r="K1414" s="201">
        <v>45575</v>
      </c>
      <c r="L1414" s="199" t="s">
        <v>3319</v>
      </c>
      <c r="M1414" s="199" t="s">
        <v>3320</v>
      </c>
    </row>
    <row r="1415" spans="1:13" ht="85.5">
      <c r="A1415" s="199">
        <v>1414</v>
      </c>
      <c r="B1415" s="199" t="s">
        <v>4731</v>
      </c>
      <c r="C1415" s="199" t="s">
        <v>34</v>
      </c>
      <c r="D1415" s="199" t="s">
        <v>35</v>
      </c>
      <c r="E1415" s="199">
        <v>80</v>
      </c>
      <c r="F1415" s="199" t="s">
        <v>1085</v>
      </c>
      <c r="G1415" s="199" t="s">
        <v>4658</v>
      </c>
      <c r="H1415" s="200">
        <v>3413.6</v>
      </c>
      <c r="I1415" s="199" t="s">
        <v>20</v>
      </c>
      <c r="J1415" s="199" t="s">
        <v>415</v>
      </c>
      <c r="K1415" s="201">
        <v>45575</v>
      </c>
      <c r="L1415" s="199" t="s">
        <v>3319</v>
      </c>
      <c r="M1415" s="199" t="s">
        <v>3320</v>
      </c>
    </row>
    <row r="1416" spans="1:13" ht="85.5">
      <c r="A1416" s="199">
        <v>1415</v>
      </c>
      <c r="B1416" s="199" t="s">
        <v>4732</v>
      </c>
      <c r="C1416" s="199" t="s">
        <v>34</v>
      </c>
      <c r="D1416" s="199" t="s">
        <v>35</v>
      </c>
      <c r="E1416" s="199">
        <v>90</v>
      </c>
      <c r="F1416" s="199" t="s">
        <v>1085</v>
      </c>
      <c r="G1416" s="199" t="s">
        <v>4658</v>
      </c>
      <c r="H1416" s="200">
        <v>6900.3</v>
      </c>
      <c r="I1416" s="199" t="s">
        <v>20</v>
      </c>
      <c r="J1416" s="199" t="s">
        <v>415</v>
      </c>
      <c r="K1416" s="201">
        <v>45575</v>
      </c>
      <c r="L1416" s="199" t="s">
        <v>3319</v>
      </c>
      <c r="M1416" s="199" t="s">
        <v>3320</v>
      </c>
    </row>
    <row r="1417" spans="1:13" ht="85.5">
      <c r="A1417" s="199">
        <v>1416</v>
      </c>
      <c r="B1417" s="199" t="s">
        <v>4733</v>
      </c>
      <c r="C1417" s="199" t="s">
        <v>34</v>
      </c>
      <c r="D1417" s="199" t="s">
        <v>35</v>
      </c>
      <c r="E1417" s="199">
        <v>25</v>
      </c>
      <c r="F1417" s="199" t="s">
        <v>3313</v>
      </c>
      <c r="G1417" s="199" t="s">
        <v>4658</v>
      </c>
      <c r="H1417" s="200">
        <v>1966.75</v>
      </c>
      <c r="I1417" s="199" t="s">
        <v>20</v>
      </c>
      <c r="J1417" s="199" t="s">
        <v>415</v>
      </c>
      <c r="K1417" s="201">
        <v>45575</v>
      </c>
      <c r="L1417" s="199" t="s">
        <v>3319</v>
      </c>
      <c r="M1417" s="199" t="s">
        <v>3320</v>
      </c>
    </row>
    <row r="1418" spans="1:13" ht="85.5">
      <c r="A1418" s="199">
        <v>1417</v>
      </c>
      <c r="B1418" s="199" t="s">
        <v>4734</v>
      </c>
      <c r="C1418" s="199" t="s">
        <v>34</v>
      </c>
      <c r="D1418" s="199" t="s">
        <v>35</v>
      </c>
      <c r="E1418" s="199">
        <v>6</v>
      </c>
      <c r="F1418" s="199" t="s">
        <v>3313</v>
      </c>
      <c r="G1418" s="199" t="s">
        <v>4658</v>
      </c>
      <c r="H1418" s="200">
        <v>226.02</v>
      </c>
      <c r="I1418" s="199" t="s">
        <v>20</v>
      </c>
      <c r="J1418" s="199" t="s">
        <v>415</v>
      </c>
      <c r="K1418" s="201">
        <v>45575</v>
      </c>
      <c r="L1418" s="199" t="s">
        <v>3319</v>
      </c>
      <c r="M1418" s="199" t="s">
        <v>3320</v>
      </c>
    </row>
    <row r="1419" spans="1:13" ht="85.5">
      <c r="A1419" s="199">
        <v>1418</v>
      </c>
      <c r="B1419" s="199" t="s">
        <v>4735</v>
      </c>
      <c r="C1419" s="199" t="s">
        <v>34</v>
      </c>
      <c r="D1419" s="199" t="s">
        <v>35</v>
      </c>
      <c r="E1419" s="199">
        <v>10</v>
      </c>
      <c r="F1419" s="199" t="s">
        <v>3313</v>
      </c>
      <c r="G1419" s="199" t="s">
        <v>4658</v>
      </c>
      <c r="H1419" s="200">
        <v>383.3</v>
      </c>
      <c r="I1419" s="199" t="s">
        <v>20</v>
      </c>
      <c r="J1419" s="199" t="s">
        <v>415</v>
      </c>
      <c r="K1419" s="201">
        <v>45575</v>
      </c>
      <c r="L1419" s="199" t="s">
        <v>3319</v>
      </c>
      <c r="M1419" s="199" t="s">
        <v>3320</v>
      </c>
    </row>
    <row r="1420" spans="1:13" ht="99.75">
      <c r="A1420" s="199">
        <v>1419</v>
      </c>
      <c r="B1420" s="199" t="s">
        <v>4736</v>
      </c>
      <c r="C1420" s="199" t="s">
        <v>34</v>
      </c>
      <c r="D1420" s="199" t="s">
        <v>35</v>
      </c>
      <c r="E1420" s="199">
        <v>6</v>
      </c>
      <c r="F1420" s="199" t="s">
        <v>3313</v>
      </c>
      <c r="G1420" s="199" t="s">
        <v>4658</v>
      </c>
      <c r="H1420" s="200">
        <v>229.98</v>
      </c>
      <c r="I1420" s="199" t="s">
        <v>20</v>
      </c>
      <c r="J1420" s="199" t="s">
        <v>415</v>
      </c>
      <c r="K1420" s="201">
        <v>45575</v>
      </c>
      <c r="L1420" s="199" t="s">
        <v>3319</v>
      </c>
      <c r="M1420" s="199" t="s">
        <v>3320</v>
      </c>
    </row>
    <row r="1421" spans="1:13" ht="99.75">
      <c r="A1421" s="199">
        <v>1420</v>
      </c>
      <c r="B1421" s="199" t="s">
        <v>4737</v>
      </c>
      <c r="C1421" s="199" t="s">
        <v>34</v>
      </c>
      <c r="D1421" s="199" t="s">
        <v>35</v>
      </c>
      <c r="E1421" s="199">
        <v>6</v>
      </c>
      <c r="F1421" s="199" t="s">
        <v>3313</v>
      </c>
      <c r="G1421" s="199" t="s">
        <v>4658</v>
      </c>
      <c r="H1421" s="200">
        <v>229.98</v>
      </c>
      <c r="I1421" s="199" t="s">
        <v>20</v>
      </c>
      <c r="J1421" s="199" t="s">
        <v>415</v>
      </c>
      <c r="K1421" s="201">
        <v>45575</v>
      </c>
      <c r="L1421" s="199" t="s">
        <v>3319</v>
      </c>
      <c r="M1421" s="199" t="s">
        <v>3320</v>
      </c>
    </row>
    <row r="1422" spans="1:13" ht="228">
      <c r="A1422" s="199">
        <v>1421</v>
      </c>
      <c r="B1422" s="199" t="s">
        <v>4738</v>
      </c>
      <c r="C1422" s="199" t="s">
        <v>34</v>
      </c>
      <c r="D1422" s="199" t="s">
        <v>35</v>
      </c>
      <c r="E1422" s="199">
        <v>250</v>
      </c>
      <c r="F1422" s="199" t="s">
        <v>510</v>
      </c>
      <c r="G1422" s="199" t="s">
        <v>4658</v>
      </c>
      <c r="H1422" s="200">
        <v>2535.5</v>
      </c>
      <c r="I1422" s="199" t="s">
        <v>20</v>
      </c>
      <c r="J1422" s="199" t="s">
        <v>415</v>
      </c>
      <c r="K1422" s="201">
        <v>45575</v>
      </c>
      <c r="L1422" s="199" t="s">
        <v>3319</v>
      </c>
      <c r="M1422" s="199" t="s">
        <v>3320</v>
      </c>
    </row>
    <row r="1423" spans="1:13" ht="85.5">
      <c r="A1423" s="199">
        <v>1422</v>
      </c>
      <c r="B1423" s="199" t="s">
        <v>4739</v>
      </c>
      <c r="C1423" s="199" t="s">
        <v>34</v>
      </c>
      <c r="D1423" s="199" t="s">
        <v>35</v>
      </c>
      <c r="E1423" s="199">
        <v>150</v>
      </c>
      <c r="F1423" s="199" t="s">
        <v>510</v>
      </c>
      <c r="G1423" s="199" t="s">
        <v>4658</v>
      </c>
      <c r="H1423" s="200">
        <v>1350</v>
      </c>
      <c r="I1423" s="199" t="s">
        <v>20</v>
      </c>
      <c r="J1423" s="199" t="s">
        <v>415</v>
      </c>
      <c r="K1423" s="201">
        <v>45575</v>
      </c>
      <c r="L1423" s="199" t="s">
        <v>3319</v>
      </c>
      <c r="M1423" s="199" t="s">
        <v>3320</v>
      </c>
    </row>
    <row r="1424" spans="1:13" ht="85.5">
      <c r="A1424" s="199">
        <v>1423</v>
      </c>
      <c r="B1424" s="199" t="s">
        <v>4740</v>
      </c>
      <c r="C1424" s="199" t="s">
        <v>34</v>
      </c>
      <c r="D1424" s="199" t="s">
        <v>35</v>
      </c>
      <c r="E1424" s="199">
        <v>5</v>
      </c>
      <c r="F1424" s="199" t="s">
        <v>510</v>
      </c>
      <c r="G1424" s="199" t="s">
        <v>4658</v>
      </c>
      <c r="H1424" s="200">
        <v>718.35</v>
      </c>
      <c r="I1424" s="199" t="s">
        <v>20</v>
      </c>
      <c r="J1424" s="199" t="s">
        <v>415</v>
      </c>
      <c r="K1424" s="201">
        <v>45575</v>
      </c>
      <c r="L1424" s="199" t="s">
        <v>3319</v>
      </c>
      <c r="M1424" s="199" t="s">
        <v>3320</v>
      </c>
    </row>
    <row r="1425" spans="1:13" ht="156.75">
      <c r="A1425" s="199">
        <v>1424</v>
      </c>
      <c r="B1425" s="199" t="s">
        <v>4741</v>
      </c>
      <c r="C1425" s="199" t="s">
        <v>34</v>
      </c>
      <c r="D1425" s="199" t="s">
        <v>35</v>
      </c>
      <c r="E1425" s="199">
        <v>150</v>
      </c>
      <c r="F1425" s="199" t="s">
        <v>510</v>
      </c>
      <c r="G1425" s="199" t="s">
        <v>4658</v>
      </c>
      <c r="H1425" s="200">
        <v>9244.5</v>
      </c>
      <c r="I1425" s="199" t="s">
        <v>20</v>
      </c>
      <c r="J1425" s="199" t="s">
        <v>415</v>
      </c>
      <c r="K1425" s="201">
        <v>45575</v>
      </c>
      <c r="L1425" s="199" t="s">
        <v>3319</v>
      </c>
      <c r="M1425" s="199" t="s">
        <v>3320</v>
      </c>
    </row>
    <row r="1426" spans="1:13" ht="156.75">
      <c r="A1426" s="199">
        <v>1425</v>
      </c>
      <c r="B1426" s="199" t="s">
        <v>4742</v>
      </c>
      <c r="C1426" s="199" t="s">
        <v>34</v>
      </c>
      <c r="D1426" s="199" t="s">
        <v>35</v>
      </c>
      <c r="E1426" s="199">
        <v>650</v>
      </c>
      <c r="F1426" s="199" t="s">
        <v>510</v>
      </c>
      <c r="G1426" s="199" t="s">
        <v>4658</v>
      </c>
      <c r="H1426" s="200">
        <v>40059.5</v>
      </c>
      <c r="I1426" s="199" t="s">
        <v>20</v>
      </c>
      <c r="J1426" s="199" t="s">
        <v>415</v>
      </c>
      <c r="K1426" s="201">
        <v>45575</v>
      </c>
      <c r="L1426" s="199" t="s">
        <v>3319</v>
      </c>
      <c r="M1426" s="199" t="s">
        <v>3320</v>
      </c>
    </row>
    <row r="1427" spans="1:13" ht="156.75">
      <c r="A1427" s="199">
        <v>1426</v>
      </c>
      <c r="B1427" s="199" t="s">
        <v>4743</v>
      </c>
      <c r="C1427" s="199" t="s">
        <v>34</v>
      </c>
      <c r="D1427" s="199" t="s">
        <v>35</v>
      </c>
      <c r="E1427" s="199">
        <v>600</v>
      </c>
      <c r="F1427" s="199" t="s">
        <v>510</v>
      </c>
      <c r="G1427" s="199" t="s">
        <v>4658</v>
      </c>
      <c r="H1427" s="200">
        <v>36978</v>
      </c>
      <c r="I1427" s="199" t="s">
        <v>20</v>
      </c>
      <c r="J1427" s="199" t="s">
        <v>415</v>
      </c>
      <c r="K1427" s="201">
        <v>45575</v>
      </c>
      <c r="L1427" s="199" t="s">
        <v>3319</v>
      </c>
      <c r="M1427" s="199" t="s">
        <v>3320</v>
      </c>
    </row>
    <row r="1428" spans="1:13" ht="85.5">
      <c r="A1428" s="199">
        <v>1427</v>
      </c>
      <c r="B1428" s="199" t="s">
        <v>4744</v>
      </c>
      <c r="C1428" s="199" t="s">
        <v>34</v>
      </c>
      <c r="D1428" s="199" t="s">
        <v>35</v>
      </c>
      <c r="E1428" s="202">
        <v>25000</v>
      </c>
      <c r="F1428" s="199" t="s">
        <v>3313</v>
      </c>
      <c r="G1428" s="199" t="s">
        <v>4658</v>
      </c>
      <c r="H1428" s="200">
        <v>22500</v>
      </c>
      <c r="I1428" s="199" t="s">
        <v>20</v>
      </c>
      <c r="J1428" s="199" t="s">
        <v>415</v>
      </c>
      <c r="K1428" s="201">
        <v>45575</v>
      </c>
      <c r="L1428" s="199" t="s">
        <v>3319</v>
      </c>
      <c r="M1428" s="199" t="s">
        <v>3320</v>
      </c>
    </row>
    <row r="1429" spans="1:13" ht="128.25">
      <c r="A1429" s="199">
        <v>1428</v>
      </c>
      <c r="B1429" s="199" t="s">
        <v>4745</v>
      </c>
      <c r="C1429" s="199" t="s">
        <v>34</v>
      </c>
      <c r="D1429" s="199" t="s">
        <v>35</v>
      </c>
      <c r="E1429" s="202">
        <v>30000</v>
      </c>
      <c r="F1429" s="199" t="s">
        <v>3313</v>
      </c>
      <c r="G1429" s="199" t="s">
        <v>4658</v>
      </c>
      <c r="H1429" s="200">
        <v>19500</v>
      </c>
      <c r="I1429" s="199" t="s">
        <v>20</v>
      </c>
      <c r="J1429" s="199" t="s">
        <v>415</v>
      </c>
      <c r="K1429" s="201">
        <v>45575</v>
      </c>
      <c r="L1429" s="199" t="s">
        <v>3319</v>
      </c>
      <c r="M1429" s="199" t="s">
        <v>3320</v>
      </c>
    </row>
    <row r="1430" spans="1:13" ht="128.25">
      <c r="A1430" s="199">
        <v>1429</v>
      </c>
      <c r="B1430" s="199" t="s">
        <v>4746</v>
      </c>
      <c r="C1430" s="199" t="s">
        <v>34</v>
      </c>
      <c r="D1430" s="199" t="s">
        <v>35</v>
      </c>
      <c r="E1430" s="202">
        <v>20000</v>
      </c>
      <c r="F1430" s="199" t="s">
        <v>3313</v>
      </c>
      <c r="G1430" s="199" t="s">
        <v>4658</v>
      </c>
      <c r="H1430" s="200">
        <v>8400</v>
      </c>
      <c r="I1430" s="199" t="s">
        <v>20</v>
      </c>
      <c r="J1430" s="199" t="s">
        <v>415</v>
      </c>
      <c r="K1430" s="201">
        <v>45575</v>
      </c>
      <c r="L1430" s="199" t="s">
        <v>3319</v>
      </c>
      <c r="M1430" s="199" t="s">
        <v>3320</v>
      </c>
    </row>
    <row r="1431" spans="1:13" ht="99.75">
      <c r="A1431" s="199">
        <v>1430</v>
      </c>
      <c r="B1431" s="199" t="s">
        <v>4747</v>
      </c>
      <c r="C1431" s="199" t="s">
        <v>34</v>
      </c>
      <c r="D1431" s="199" t="s">
        <v>35</v>
      </c>
      <c r="E1431" s="202">
        <v>15000</v>
      </c>
      <c r="F1431" s="199" t="s">
        <v>3313</v>
      </c>
      <c r="G1431" s="199" t="s">
        <v>4658</v>
      </c>
      <c r="H1431" s="200">
        <v>5700</v>
      </c>
      <c r="I1431" s="199" t="s">
        <v>20</v>
      </c>
      <c r="J1431" s="199" t="s">
        <v>415</v>
      </c>
      <c r="K1431" s="201">
        <v>45575</v>
      </c>
      <c r="L1431" s="199" t="s">
        <v>3319</v>
      </c>
      <c r="M1431" s="199" t="s">
        <v>3320</v>
      </c>
    </row>
    <row r="1432" spans="1:13" ht="85.5">
      <c r="A1432" s="199">
        <v>1431</v>
      </c>
      <c r="B1432" s="199" t="s">
        <v>4748</v>
      </c>
      <c r="C1432" s="199" t="s">
        <v>34</v>
      </c>
      <c r="D1432" s="199" t="s">
        <v>35</v>
      </c>
      <c r="E1432" s="199">
        <v>100</v>
      </c>
      <c r="F1432" s="199" t="s">
        <v>890</v>
      </c>
      <c r="G1432" s="199" t="s">
        <v>4658</v>
      </c>
      <c r="H1432" s="200">
        <v>2367</v>
      </c>
      <c r="I1432" s="199" t="s">
        <v>20</v>
      </c>
      <c r="J1432" s="199" t="s">
        <v>415</v>
      </c>
      <c r="K1432" s="201">
        <v>45575</v>
      </c>
      <c r="L1432" s="199" t="s">
        <v>3319</v>
      </c>
      <c r="M1432" s="199" t="s">
        <v>3320</v>
      </c>
    </row>
    <row r="1433" spans="1:13" ht="85.5">
      <c r="A1433" s="199">
        <v>1432</v>
      </c>
      <c r="B1433" s="199" t="s">
        <v>4749</v>
      </c>
      <c r="C1433" s="199" t="s">
        <v>34</v>
      </c>
      <c r="D1433" s="199" t="s">
        <v>35</v>
      </c>
      <c r="E1433" s="199">
        <v>200</v>
      </c>
      <c r="F1433" s="199" t="s">
        <v>890</v>
      </c>
      <c r="G1433" s="199" t="s">
        <v>4658</v>
      </c>
      <c r="H1433" s="200">
        <v>4734</v>
      </c>
      <c r="I1433" s="199" t="s">
        <v>20</v>
      </c>
      <c r="J1433" s="199" t="s">
        <v>415</v>
      </c>
      <c r="K1433" s="201">
        <v>45575</v>
      </c>
      <c r="L1433" s="199" t="s">
        <v>3319</v>
      </c>
      <c r="M1433" s="199" t="s">
        <v>3320</v>
      </c>
    </row>
    <row r="1434" spans="1:13" ht="85.5">
      <c r="A1434" s="199">
        <v>1433</v>
      </c>
      <c r="B1434" s="199" t="s">
        <v>4750</v>
      </c>
      <c r="C1434" s="199" t="s">
        <v>34</v>
      </c>
      <c r="D1434" s="199" t="s">
        <v>35</v>
      </c>
      <c r="E1434" s="199">
        <v>30</v>
      </c>
      <c r="F1434" s="199" t="s">
        <v>3313</v>
      </c>
      <c r="G1434" s="199" t="s">
        <v>4658</v>
      </c>
      <c r="H1434" s="200">
        <v>459.9</v>
      </c>
      <c r="I1434" s="199" t="s">
        <v>20</v>
      </c>
      <c r="J1434" s="199" t="s">
        <v>415</v>
      </c>
      <c r="K1434" s="201">
        <v>45575</v>
      </c>
      <c r="L1434" s="199" t="s">
        <v>3319</v>
      </c>
      <c r="M1434" s="199" t="s">
        <v>3320</v>
      </c>
    </row>
    <row r="1435" spans="1:13" ht="99.75">
      <c r="A1435" s="199">
        <v>1434</v>
      </c>
      <c r="B1435" s="199" t="s">
        <v>4751</v>
      </c>
      <c r="C1435" s="199" t="s">
        <v>34</v>
      </c>
      <c r="D1435" s="199" t="s">
        <v>35</v>
      </c>
      <c r="E1435" s="199">
        <v>250</v>
      </c>
      <c r="F1435" s="199" t="s">
        <v>2665</v>
      </c>
      <c r="G1435" s="199" t="s">
        <v>4658</v>
      </c>
      <c r="H1435" s="200">
        <v>19000</v>
      </c>
      <c r="I1435" s="199" t="s">
        <v>20</v>
      </c>
      <c r="J1435" s="199" t="s">
        <v>415</v>
      </c>
      <c r="K1435" s="201">
        <v>45575</v>
      </c>
      <c r="L1435" s="199" t="s">
        <v>3319</v>
      </c>
      <c r="M1435" s="199" t="s">
        <v>3320</v>
      </c>
    </row>
    <row r="1436" spans="1:13" ht="85.5">
      <c r="A1436" s="199">
        <v>1435</v>
      </c>
      <c r="B1436" s="199" t="s">
        <v>4752</v>
      </c>
      <c r="C1436" s="199" t="s">
        <v>34</v>
      </c>
      <c r="D1436" s="199" t="s">
        <v>35</v>
      </c>
      <c r="E1436" s="199">
        <v>25</v>
      </c>
      <c r="F1436" s="199" t="s">
        <v>3313</v>
      </c>
      <c r="G1436" s="199" t="s">
        <v>4658</v>
      </c>
      <c r="H1436" s="200">
        <v>2475</v>
      </c>
      <c r="I1436" s="199" t="s">
        <v>20</v>
      </c>
      <c r="J1436" s="199" t="s">
        <v>415</v>
      </c>
      <c r="K1436" s="201">
        <v>45575</v>
      </c>
      <c r="L1436" s="199" t="s">
        <v>3319</v>
      </c>
      <c r="M1436" s="199" t="s">
        <v>3320</v>
      </c>
    </row>
    <row r="1437" spans="1:13" ht="99.75">
      <c r="A1437" s="199">
        <v>1436</v>
      </c>
      <c r="B1437" s="199" t="s">
        <v>4502</v>
      </c>
      <c r="C1437" s="199" t="s">
        <v>34</v>
      </c>
      <c r="D1437" s="199" t="s">
        <v>35</v>
      </c>
      <c r="E1437" s="199">
        <v>500</v>
      </c>
      <c r="F1437" s="199" t="s">
        <v>3313</v>
      </c>
      <c r="G1437" s="199" t="s">
        <v>4658</v>
      </c>
      <c r="H1437" s="200">
        <v>7500</v>
      </c>
      <c r="I1437" s="199" t="s">
        <v>20</v>
      </c>
      <c r="J1437" s="199" t="s">
        <v>415</v>
      </c>
      <c r="K1437" s="201">
        <v>45575</v>
      </c>
      <c r="L1437" s="199" t="s">
        <v>3319</v>
      </c>
      <c r="M1437" s="199" t="s">
        <v>3320</v>
      </c>
    </row>
    <row r="1438" spans="1:13" ht="85.5">
      <c r="A1438" s="199">
        <v>1437</v>
      </c>
      <c r="B1438" s="199" t="s">
        <v>4753</v>
      </c>
      <c r="C1438" s="199" t="s">
        <v>34</v>
      </c>
      <c r="D1438" s="199" t="s">
        <v>35</v>
      </c>
      <c r="E1438" s="199">
        <v>450</v>
      </c>
      <c r="F1438" s="199" t="s">
        <v>1085</v>
      </c>
      <c r="G1438" s="199" t="s">
        <v>4658</v>
      </c>
      <c r="H1438" s="200">
        <v>37273.5</v>
      </c>
      <c r="I1438" s="199" t="s">
        <v>20</v>
      </c>
      <c r="J1438" s="199" t="s">
        <v>415</v>
      </c>
      <c r="K1438" s="201">
        <v>45575</v>
      </c>
      <c r="L1438" s="199" t="s">
        <v>3319</v>
      </c>
      <c r="M1438" s="199" t="s">
        <v>3320</v>
      </c>
    </row>
    <row r="1439" spans="1:13" ht="114">
      <c r="A1439" s="199">
        <v>1438</v>
      </c>
      <c r="B1439" s="199" t="s">
        <v>4754</v>
      </c>
      <c r="C1439" s="199" t="s">
        <v>34</v>
      </c>
      <c r="D1439" s="199" t="s">
        <v>35</v>
      </c>
      <c r="E1439" s="199">
        <v>100</v>
      </c>
      <c r="F1439" s="199" t="s">
        <v>4644</v>
      </c>
      <c r="G1439" s="199" t="s">
        <v>4755</v>
      </c>
      <c r="H1439" s="200">
        <v>5915</v>
      </c>
      <c r="I1439" s="199" t="s">
        <v>20</v>
      </c>
      <c r="J1439" s="199" t="s">
        <v>415</v>
      </c>
      <c r="K1439" s="201">
        <v>45414</v>
      </c>
      <c r="L1439" s="199" t="s">
        <v>3319</v>
      </c>
      <c r="M1439" s="199" t="s">
        <v>3320</v>
      </c>
    </row>
    <row r="1440" spans="1:13" ht="85.5">
      <c r="A1440" s="199">
        <v>1439</v>
      </c>
      <c r="B1440" s="199" t="s">
        <v>4756</v>
      </c>
      <c r="C1440" s="199" t="s">
        <v>34</v>
      </c>
      <c r="D1440" s="199" t="s">
        <v>35</v>
      </c>
      <c r="E1440" s="199">
        <v>2000</v>
      </c>
      <c r="F1440" s="199" t="s">
        <v>591</v>
      </c>
      <c r="G1440" s="199" t="s">
        <v>4755</v>
      </c>
      <c r="H1440" s="200">
        <v>37960</v>
      </c>
      <c r="I1440" s="199" t="s">
        <v>20</v>
      </c>
      <c r="J1440" s="199" t="s">
        <v>415</v>
      </c>
      <c r="K1440" s="201">
        <v>45414</v>
      </c>
      <c r="L1440" s="199" t="s">
        <v>3319</v>
      </c>
      <c r="M1440" s="199" t="s">
        <v>3320</v>
      </c>
    </row>
    <row r="1441" spans="1:13" ht="185.25">
      <c r="A1441" s="199">
        <v>1440</v>
      </c>
      <c r="B1441" s="199" t="s">
        <v>4757</v>
      </c>
      <c r="C1441" s="199" t="s">
        <v>34</v>
      </c>
      <c r="D1441" s="199" t="s">
        <v>35</v>
      </c>
      <c r="E1441" s="199">
        <v>3000</v>
      </c>
      <c r="F1441" s="199" t="s">
        <v>679</v>
      </c>
      <c r="G1441" s="199" t="s">
        <v>4755</v>
      </c>
      <c r="H1441" s="200">
        <v>90630</v>
      </c>
      <c r="I1441" s="199" t="s">
        <v>20</v>
      </c>
      <c r="J1441" s="199" t="s">
        <v>415</v>
      </c>
      <c r="K1441" s="201">
        <v>45414</v>
      </c>
      <c r="L1441" s="199" t="s">
        <v>3319</v>
      </c>
      <c r="M1441" s="199" t="s">
        <v>3320</v>
      </c>
    </row>
    <row r="1442" spans="1:13" ht="128.25">
      <c r="A1442" s="199">
        <v>1441</v>
      </c>
      <c r="B1442" s="199" t="s">
        <v>4758</v>
      </c>
      <c r="C1442" s="199" t="s">
        <v>34</v>
      </c>
      <c r="D1442" s="199" t="s">
        <v>35</v>
      </c>
      <c r="E1442" s="199">
        <v>500</v>
      </c>
      <c r="F1442" s="199" t="s">
        <v>679</v>
      </c>
      <c r="G1442" s="199" t="s">
        <v>4755</v>
      </c>
      <c r="H1442" s="200">
        <v>15380</v>
      </c>
      <c r="I1442" s="199" t="s">
        <v>20</v>
      </c>
      <c r="J1442" s="199" t="s">
        <v>415</v>
      </c>
      <c r="K1442" s="201">
        <v>45414</v>
      </c>
      <c r="L1442" s="199" t="s">
        <v>3319</v>
      </c>
      <c r="M1442" s="199" t="s">
        <v>3320</v>
      </c>
    </row>
    <row r="1443" spans="1:13" ht="128.25">
      <c r="A1443" s="199">
        <v>1442</v>
      </c>
      <c r="B1443" s="199" t="s">
        <v>4759</v>
      </c>
      <c r="C1443" s="199" t="s">
        <v>34</v>
      </c>
      <c r="D1443" s="199" t="s">
        <v>35</v>
      </c>
      <c r="E1443" s="199">
        <v>3000</v>
      </c>
      <c r="F1443" s="199" t="s">
        <v>679</v>
      </c>
      <c r="G1443" s="199" t="s">
        <v>4755</v>
      </c>
      <c r="H1443" s="200">
        <v>92550</v>
      </c>
      <c r="I1443" s="199" t="s">
        <v>20</v>
      </c>
      <c r="J1443" s="199" t="s">
        <v>415</v>
      </c>
      <c r="K1443" s="201">
        <v>45414</v>
      </c>
      <c r="L1443" s="199" t="s">
        <v>3319</v>
      </c>
      <c r="M1443" s="199" t="s">
        <v>3320</v>
      </c>
    </row>
    <row r="1444" spans="1:13" ht="128.25">
      <c r="A1444" s="199">
        <v>1443</v>
      </c>
      <c r="B1444" s="199" t="s">
        <v>4760</v>
      </c>
      <c r="C1444" s="199" t="s">
        <v>34</v>
      </c>
      <c r="D1444" s="199" t="s">
        <v>35</v>
      </c>
      <c r="E1444" s="199">
        <v>3000</v>
      </c>
      <c r="F1444" s="199" t="s">
        <v>679</v>
      </c>
      <c r="G1444" s="199" t="s">
        <v>4755</v>
      </c>
      <c r="H1444" s="200">
        <v>90630</v>
      </c>
      <c r="I1444" s="199" t="s">
        <v>20</v>
      </c>
      <c r="J1444" s="199" t="s">
        <v>415</v>
      </c>
      <c r="K1444" s="201">
        <v>45414</v>
      </c>
      <c r="L1444" s="199" t="s">
        <v>3319</v>
      </c>
      <c r="M1444" s="199" t="s">
        <v>3320</v>
      </c>
    </row>
    <row r="1445" spans="1:13" ht="114">
      <c r="A1445" s="199">
        <v>1444</v>
      </c>
      <c r="B1445" s="199" t="s">
        <v>4761</v>
      </c>
      <c r="C1445" s="199" t="s">
        <v>34</v>
      </c>
      <c r="D1445" s="199" t="s">
        <v>35</v>
      </c>
      <c r="E1445" s="199">
        <v>200</v>
      </c>
      <c r="F1445" s="199" t="s">
        <v>679</v>
      </c>
      <c r="G1445" s="199" t="s">
        <v>4755</v>
      </c>
      <c r="H1445" s="200">
        <v>6152</v>
      </c>
      <c r="I1445" s="199" t="s">
        <v>20</v>
      </c>
      <c r="J1445" s="199" t="s">
        <v>415</v>
      </c>
      <c r="K1445" s="201">
        <v>45414</v>
      </c>
      <c r="L1445" s="199" t="s">
        <v>3319</v>
      </c>
      <c r="M1445" s="199" t="s">
        <v>3320</v>
      </c>
    </row>
    <row r="1446" spans="1:13" ht="85.5">
      <c r="A1446" s="199">
        <v>1445</v>
      </c>
      <c r="B1446" s="199" t="s">
        <v>4762</v>
      </c>
      <c r="C1446" s="199" t="s">
        <v>34</v>
      </c>
      <c r="D1446" s="199" t="s">
        <v>35</v>
      </c>
      <c r="E1446" s="199">
        <v>4000</v>
      </c>
      <c r="F1446" s="199" t="s">
        <v>8</v>
      </c>
      <c r="G1446" s="199" t="s">
        <v>4755</v>
      </c>
      <c r="H1446" s="200">
        <v>28480</v>
      </c>
      <c r="I1446" s="199" t="s">
        <v>20</v>
      </c>
      <c r="J1446" s="199" t="s">
        <v>415</v>
      </c>
      <c r="K1446" s="201">
        <v>45414</v>
      </c>
      <c r="L1446" s="199" t="s">
        <v>3319</v>
      </c>
      <c r="M1446" s="199" t="s">
        <v>3320</v>
      </c>
    </row>
    <row r="1447" spans="1:13" ht="85.5">
      <c r="A1447" s="199">
        <v>1446</v>
      </c>
      <c r="B1447" s="199" t="s">
        <v>4579</v>
      </c>
      <c r="C1447" s="199" t="s">
        <v>34</v>
      </c>
      <c r="D1447" s="199" t="s">
        <v>35</v>
      </c>
      <c r="E1447" s="199">
        <v>5000</v>
      </c>
      <c r="F1447" s="199" t="s">
        <v>8</v>
      </c>
      <c r="G1447" s="199" t="s">
        <v>4755</v>
      </c>
      <c r="H1447" s="200">
        <v>116200</v>
      </c>
      <c r="I1447" s="199" t="s">
        <v>20</v>
      </c>
      <c r="J1447" s="199" t="s">
        <v>415</v>
      </c>
      <c r="K1447" s="201">
        <v>45414</v>
      </c>
      <c r="L1447" s="199" t="s">
        <v>3319</v>
      </c>
      <c r="M1447" s="199" t="s">
        <v>3320</v>
      </c>
    </row>
    <row r="1448" spans="1:13" ht="85.5">
      <c r="A1448" s="199">
        <v>1447</v>
      </c>
      <c r="B1448" s="199" t="s">
        <v>4763</v>
      </c>
      <c r="C1448" s="199" t="s">
        <v>34</v>
      </c>
      <c r="D1448" s="199" t="s">
        <v>35</v>
      </c>
      <c r="E1448" s="199">
        <v>50</v>
      </c>
      <c r="F1448" s="199" t="s">
        <v>8</v>
      </c>
      <c r="G1448" s="199" t="s">
        <v>4755</v>
      </c>
      <c r="H1448" s="200">
        <v>1183</v>
      </c>
      <c r="I1448" s="199" t="s">
        <v>20</v>
      </c>
      <c r="J1448" s="199" t="s">
        <v>415</v>
      </c>
      <c r="K1448" s="201">
        <v>45414</v>
      </c>
      <c r="L1448" s="199" t="s">
        <v>3319</v>
      </c>
      <c r="M1448" s="199" t="s">
        <v>3320</v>
      </c>
    </row>
    <row r="1449" spans="1:13" ht="85.5">
      <c r="A1449" s="199">
        <v>1448</v>
      </c>
      <c r="B1449" s="199" t="s">
        <v>4764</v>
      </c>
      <c r="C1449" s="199" t="s">
        <v>34</v>
      </c>
      <c r="D1449" s="199" t="s">
        <v>35</v>
      </c>
      <c r="E1449" s="199">
        <v>100</v>
      </c>
      <c r="F1449" s="199" t="s">
        <v>8</v>
      </c>
      <c r="G1449" s="199" t="s">
        <v>4755</v>
      </c>
      <c r="H1449" s="200">
        <v>18894</v>
      </c>
      <c r="I1449" s="199" t="s">
        <v>20</v>
      </c>
      <c r="J1449" s="199" t="s">
        <v>415</v>
      </c>
      <c r="K1449" s="201">
        <v>45414</v>
      </c>
      <c r="L1449" s="199" t="s">
        <v>3319</v>
      </c>
      <c r="M1449" s="199" t="s">
        <v>3320</v>
      </c>
    </row>
    <row r="1450" spans="1:13" ht="85.5">
      <c r="A1450" s="199">
        <v>1449</v>
      </c>
      <c r="B1450" s="199" t="s">
        <v>4765</v>
      </c>
      <c r="C1450" s="199" t="s">
        <v>34</v>
      </c>
      <c r="D1450" s="199" t="s">
        <v>35</v>
      </c>
      <c r="E1450" s="199">
        <v>5</v>
      </c>
      <c r="F1450" s="199" t="s">
        <v>8</v>
      </c>
      <c r="G1450" s="199" t="s">
        <v>4755</v>
      </c>
      <c r="H1450" s="200">
        <v>121.3</v>
      </c>
      <c r="I1450" s="199" t="s">
        <v>20</v>
      </c>
      <c r="J1450" s="199" t="s">
        <v>415</v>
      </c>
      <c r="K1450" s="201">
        <v>45414</v>
      </c>
      <c r="L1450" s="199" t="s">
        <v>3319</v>
      </c>
      <c r="M1450" s="199" t="s">
        <v>3320</v>
      </c>
    </row>
    <row r="1451" spans="1:13" ht="85.5">
      <c r="A1451" s="199">
        <v>1450</v>
      </c>
      <c r="B1451" s="199" t="s">
        <v>4766</v>
      </c>
      <c r="C1451" s="199" t="s">
        <v>34</v>
      </c>
      <c r="D1451" s="199" t="s">
        <v>35</v>
      </c>
      <c r="E1451" s="199">
        <v>200</v>
      </c>
      <c r="F1451" s="199" t="s">
        <v>679</v>
      </c>
      <c r="G1451" s="199" t="s">
        <v>4755</v>
      </c>
      <c r="H1451" s="200">
        <v>14238</v>
      </c>
      <c r="I1451" s="199" t="s">
        <v>20</v>
      </c>
      <c r="J1451" s="199" t="s">
        <v>415</v>
      </c>
      <c r="K1451" s="201">
        <v>45414</v>
      </c>
      <c r="L1451" s="199" t="s">
        <v>3319</v>
      </c>
      <c r="M1451" s="199" t="s">
        <v>3320</v>
      </c>
    </row>
    <row r="1452" spans="1:13" ht="128.25">
      <c r="A1452" s="199">
        <v>1451</v>
      </c>
      <c r="B1452" s="199" t="s">
        <v>4767</v>
      </c>
      <c r="C1452" s="199" t="s">
        <v>34</v>
      </c>
      <c r="D1452" s="199" t="s">
        <v>35</v>
      </c>
      <c r="E1452" s="199">
        <v>30</v>
      </c>
      <c r="F1452" s="199" t="s">
        <v>679</v>
      </c>
      <c r="G1452" s="199" t="s">
        <v>4755</v>
      </c>
      <c r="H1452" s="200">
        <v>2091.6</v>
      </c>
      <c r="I1452" s="199" t="s">
        <v>20</v>
      </c>
      <c r="J1452" s="199" t="s">
        <v>415</v>
      </c>
      <c r="K1452" s="201">
        <v>45414</v>
      </c>
      <c r="L1452" s="199" t="s">
        <v>3319</v>
      </c>
      <c r="M1452" s="199" t="s">
        <v>3320</v>
      </c>
    </row>
    <row r="1453" spans="1:13" ht="99.75">
      <c r="A1453" s="199">
        <v>1452</v>
      </c>
      <c r="B1453" s="199" t="s">
        <v>4476</v>
      </c>
      <c r="C1453" s="199" t="s">
        <v>34</v>
      </c>
      <c r="D1453" s="199" t="s">
        <v>35</v>
      </c>
      <c r="E1453" s="199">
        <v>6000</v>
      </c>
      <c r="F1453" s="199" t="s">
        <v>8</v>
      </c>
      <c r="G1453" s="199" t="s">
        <v>4755</v>
      </c>
      <c r="H1453" s="200">
        <v>198720</v>
      </c>
      <c r="I1453" s="199" t="s">
        <v>20</v>
      </c>
      <c r="J1453" s="199" t="s">
        <v>415</v>
      </c>
      <c r="K1453" s="201">
        <v>45414</v>
      </c>
      <c r="L1453" s="199" t="s">
        <v>3319</v>
      </c>
      <c r="M1453" s="199" t="s">
        <v>3320</v>
      </c>
    </row>
    <row r="1454" spans="1:13" ht="85.5">
      <c r="A1454" s="199">
        <v>1453</v>
      </c>
      <c r="B1454" s="199" t="s">
        <v>4768</v>
      </c>
      <c r="C1454" s="199" t="s">
        <v>34</v>
      </c>
      <c r="D1454" s="199" t="s">
        <v>35</v>
      </c>
      <c r="E1454" s="199">
        <v>30</v>
      </c>
      <c r="F1454" s="199" t="s">
        <v>8</v>
      </c>
      <c r="G1454" s="199" t="s">
        <v>4755</v>
      </c>
      <c r="H1454" s="200">
        <v>1467.3</v>
      </c>
      <c r="I1454" s="199" t="s">
        <v>20</v>
      </c>
      <c r="J1454" s="199" t="s">
        <v>415</v>
      </c>
      <c r="K1454" s="201">
        <v>45414</v>
      </c>
      <c r="L1454" s="199" t="s">
        <v>3319</v>
      </c>
      <c r="M1454" s="199" t="s">
        <v>3320</v>
      </c>
    </row>
    <row r="1455" spans="1:13" ht="85.5">
      <c r="A1455" s="199">
        <v>1454</v>
      </c>
      <c r="B1455" s="199" t="s">
        <v>4769</v>
      </c>
      <c r="C1455" s="199" t="s">
        <v>34</v>
      </c>
      <c r="D1455" s="199" t="s">
        <v>35</v>
      </c>
      <c r="E1455" s="199">
        <v>30</v>
      </c>
      <c r="F1455" s="199" t="s">
        <v>8</v>
      </c>
      <c r="G1455" s="199" t="s">
        <v>4755</v>
      </c>
      <c r="H1455" s="200">
        <v>1437</v>
      </c>
      <c r="I1455" s="199" t="s">
        <v>20</v>
      </c>
      <c r="J1455" s="199" t="s">
        <v>415</v>
      </c>
      <c r="K1455" s="201">
        <v>45414</v>
      </c>
      <c r="L1455" s="199" t="s">
        <v>3319</v>
      </c>
      <c r="M1455" s="199" t="s">
        <v>3320</v>
      </c>
    </row>
    <row r="1456" spans="1:13" ht="85.5">
      <c r="A1456" s="199">
        <v>1455</v>
      </c>
      <c r="B1456" s="199" t="s">
        <v>4770</v>
      </c>
      <c r="C1456" s="199" t="s">
        <v>34</v>
      </c>
      <c r="D1456" s="199" t="s">
        <v>35</v>
      </c>
      <c r="E1456" s="199">
        <v>15</v>
      </c>
      <c r="F1456" s="199" t="s">
        <v>8</v>
      </c>
      <c r="G1456" s="199" t="s">
        <v>4755</v>
      </c>
      <c r="H1456" s="200">
        <v>885.75</v>
      </c>
      <c r="I1456" s="199" t="s">
        <v>20</v>
      </c>
      <c r="J1456" s="199" t="s">
        <v>415</v>
      </c>
      <c r="K1456" s="201">
        <v>45414</v>
      </c>
      <c r="L1456" s="199" t="s">
        <v>3319</v>
      </c>
      <c r="M1456" s="199" t="s">
        <v>3320</v>
      </c>
    </row>
    <row r="1457" spans="1:13" ht="85.5">
      <c r="A1457" s="199">
        <v>1456</v>
      </c>
      <c r="B1457" s="199" t="s">
        <v>4771</v>
      </c>
      <c r="C1457" s="199" t="s">
        <v>34</v>
      </c>
      <c r="D1457" s="199" t="s">
        <v>35</v>
      </c>
      <c r="E1457" s="199">
        <v>2500</v>
      </c>
      <c r="F1457" s="199" t="s">
        <v>8</v>
      </c>
      <c r="G1457" s="199" t="s">
        <v>4755</v>
      </c>
      <c r="H1457" s="200">
        <v>44500</v>
      </c>
      <c r="I1457" s="199" t="s">
        <v>20</v>
      </c>
      <c r="J1457" s="199" t="s">
        <v>415</v>
      </c>
      <c r="K1457" s="201">
        <v>45414</v>
      </c>
      <c r="L1457" s="199" t="s">
        <v>3319</v>
      </c>
      <c r="M1457" s="199" t="s">
        <v>3320</v>
      </c>
    </row>
    <row r="1458" spans="1:13" ht="114">
      <c r="A1458" s="199">
        <v>1457</v>
      </c>
      <c r="B1458" s="199" t="s">
        <v>4772</v>
      </c>
      <c r="C1458" s="199" t="s">
        <v>34</v>
      </c>
      <c r="D1458" s="199" t="s">
        <v>35</v>
      </c>
      <c r="E1458" s="199">
        <v>400</v>
      </c>
      <c r="F1458" s="199" t="s">
        <v>679</v>
      </c>
      <c r="G1458" s="199" t="s">
        <v>4755</v>
      </c>
      <c r="H1458" s="200">
        <v>81804</v>
      </c>
      <c r="I1458" s="199" t="s">
        <v>20</v>
      </c>
      <c r="J1458" s="199" t="s">
        <v>415</v>
      </c>
      <c r="K1458" s="201">
        <v>45414</v>
      </c>
      <c r="L1458" s="199" t="s">
        <v>3319</v>
      </c>
      <c r="M1458" s="199" t="s">
        <v>3320</v>
      </c>
    </row>
    <row r="1459" spans="1:13" ht="128.25">
      <c r="A1459" s="199">
        <v>1458</v>
      </c>
      <c r="B1459" s="199" t="s">
        <v>4773</v>
      </c>
      <c r="C1459" s="199" t="s">
        <v>34</v>
      </c>
      <c r="D1459" s="199" t="s">
        <v>35</v>
      </c>
      <c r="E1459" s="199">
        <v>50</v>
      </c>
      <c r="F1459" s="199" t="s">
        <v>679</v>
      </c>
      <c r="G1459" s="199" t="s">
        <v>4755</v>
      </c>
      <c r="H1459" s="200">
        <v>28392</v>
      </c>
      <c r="I1459" s="199" t="s">
        <v>20</v>
      </c>
      <c r="J1459" s="199" t="s">
        <v>415</v>
      </c>
      <c r="K1459" s="201">
        <v>45414</v>
      </c>
      <c r="L1459" s="199" t="s">
        <v>3319</v>
      </c>
      <c r="M1459" s="199" t="s">
        <v>3320</v>
      </c>
    </row>
    <row r="1460" spans="1:13" ht="128.25">
      <c r="A1460" s="199">
        <v>1459</v>
      </c>
      <c r="B1460" s="199" t="s">
        <v>4774</v>
      </c>
      <c r="C1460" s="199" t="s">
        <v>34</v>
      </c>
      <c r="D1460" s="199" t="s">
        <v>35</v>
      </c>
      <c r="E1460" s="199">
        <v>350</v>
      </c>
      <c r="F1460" s="199" t="s">
        <v>679</v>
      </c>
      <c r="G1460" s="199" t="s">
        <v>4755</v>
      </c>
      <c r="H1460" s="200">
        <v>46511.5</v>
      </c>
      <c r="I1460" s="199" t="s">
        <v>20</v>
      </c>
      <c r="J1460" s="199" t="s">
        <v>415</v>
      </c>
      <c r="K1460" s="201">
        <v>45414</v>
      </c>
      <c r="L1460" s="199" t="s">
        <v>3319</v>
      </c>
      <c r="M1460" s="199" t="s">
        <v>3320</v>
      </c>
    </row>
    <row r="1461" spans="1:13" ht="128.25">
      <c r="A1461" s="199">
        <v>1460</v>
      </c>
      <c r="B1461" s="199" t="s">
        <v>4775</v>
      </c>
      <c r="C1461" s="199" t="s">
        <v>34</v>
      </c>
      <c r="D1461" s="199" t="s">
        <v>35</v>
      </c>
      <c r="E1461" s="199">
        <v>100</v>
      </c>
      <c r="F1461" s="199" t="s">
        <v>679</v>
      </c>
      <c r="G1461" s="199" t="s">
        <v>4755</v>
      </c>
      <c r="H1461" s="200">
        <v>19522</v>
      </c>
      <c r="I1461" s="199" t="s">
        <v>20</v>
      </c>
      <c r="J1461" s="199" t="s">
        <v>415</v>
      </c>
      <c r="K1461" s="201">
        <v>45414</v>
      </c>
      <c r="L1461" s="199" t="s">
        <v>3319</v>
      </c>
      <c r="M1461" s="199" t="s">
        <v>3320</v>
      </c>
    </row>
    <row r="1462" spans="1:13" ht="99.75">
      <c r="A1462" s="199">
        <v>1461</v>
      </c>
      <c r="B1462" s="199" t="s">
        <v>4776</v>
      </c>
      <c r="C1462" s="199" t="s">
        <v>34</v>
      </c>
      <c r="D1462" s="199" t="s">
        <v>35</v>
      </c>
      <c r="E1462" s="199">
        <v>300</v>
      </c>
      <c r="F1462" s="199" t="s">
        <v>679</v>
      </c>
      <c r="G1462" s="199" t="s">
        <v>4755</v>
      </c>
      <c r="H1462" s="200">
        <v>66720</v>
      </c>
      <c r="I1462" s="199" t="s">
        <v>20</v>
      </c>
      <c r="J1462" s="199" t="s">
        <v>415</v>
      </c>
      <c r="K1462" s="201">
        <v>45414</v>
      </c>
      <c r="L1462" s="199" t="s">
        <v>3319</v>
      </c>
      <c r="M1462" s="199" t="s">
        <v>3320</v>
      </c>
    </row>
    <row r="1463" spans="1:13" ht="142.5">
      <c r="A1463" s="199">
        <v>1462</v>
      </c>
      <c r="B1463" s="199" t="s">
        <v>4777</v>
      </c>
      <c r="C1463" s="199" t="s">
        <v>34</v>
      </c>
      <c r="D1463" s="199" t="s">
        <v>35</v>
      </c>
      <c r="E1463" s="199">
        <v>100</v>
      </c>
      <c r="F1463" s="199" t="s">
        <v>679</v>
      </c>
      <c r="G1463" s="199" t="s">
        <v>4755</v>
      </c>
      <c r="H1463" s="200">
        <v>34409</v>
      </c>
      <c r="I1463" s="199" t="s">
        <v>20</v>
      </c>
      <c r="J1463" s="199" t="s">
        <v>415</v>
      </c>
      <c r="K1463" s="201">
        <v>45414</v>
      </c>
      <c r="L1463" s="199" t="s">
        <v>3319</v>
      </c>
      <c r="M1463" s="199" t="s">
        <v>3320</v>
      </c>
    </row>
    <row r="1464" spans="1:13" ht="85.5">
      <c r="A1464" s="199">
        <v>1463</v>
      </c>
      <c r="B1464" s="199" t="s">
        <v>4778</v>
      </c>
      <c r="C1464" s="199" t="s">
        <v>34</v>
      </c>
      <c r="D1464" s="199" t="s">
        <v>35</v>
      </c>
      <c r="E1464" s="199">
        <v>300</v>
      </c>
      <c r="F1464" s="199" t="s">
        <v>8</v>
      </c>
      <c r="G1464" s="199" t="s">
        <v>4755</v>
      </c>
      <c r="H1464" s="200">
        <v>6204</v>
      </c>
      <c r="I1464" s="199" t="s">
        <v>20</v>
      </c>
      <c r="J1464" s="199" t="s">
        <v>415</v>
      </c>
      <c r="K1464" s="201">
        <v>45414</v>
      </c>
      <c r="L1464" s="199" t="s">
        <v>3319</v>
      </c>
      <c r="M1464" s="199" t="s">
        <v>3320</v>
      </c>
    </row>
    <row r="1465" spans="1:13" ht="85.5">
      <c r="A1465" s="199">
        <v>1464</v>
      </c>
      <c r="B1465" s="199" t="s">
        <v>4779</v>
      </c>
      <c r="C1465" s="199" t="s">
        <v>34</v>
      </c>
      <c r="D1465" s="199" t="s">
        <v>35</v>
      </c>
      <c r="E1465" s="199">
        <v>10</v>
      </c>
      <c r="F1465" s="199" t="s">
        <v>8</v>
      </c>
      <c r="G1465" s="199" t="s">
        <v>4755</v>
      </c>
      <c r="H1465" s="200">
        <v>1183</v>
      </c>
      <c r="I1465" s="199" t="s">
        <v>20</v>
      </c>
      <c r="J1465" s="199" t="s">
        <v>415</v>
      </c>
      <c r="K1465" s="201">
        <v>45414</v>
      </c>
      <c r="L1465" s="199" t="s">
        <v>3319</v>
      </c>
      <c r="M1465" s="199" t="s">
        <v>3320</v>
      </c>
    </row>
    <row r="1466" spans="1:13" ht="85.5">
      <c r="A1466" s="199">
        <v>1465</v>
      </c>
      <c r="B1466" s="199" t="s">
        <v>4780</v>
      </c>
      <c r="C1466" s="199" t="s">
        <v>34</v>
      </c>
      <c r="D1466" s="199" t="s">
        <v>35</v>
      </c>
      <c r="E1466" s="199">
        <v>10</v>
      </c>
      <c r="F1466" s="199" t="s">
        <v>8</v>
      </c>
      <c r="G1466" s="199" t="s">
        <v>4755</v>
      </c>
      <c r="H1466" s="200">
        <v>308.5</v>
      </c>
      <c r="I1466" s="199" t="s">
        <v>20</v>
      </c>
      <c r="J1466" s="199" t="s">
        <v>415</v>
      </c>
      <c r="K1466" s="201">
        <v>45414</v>
      </c>
      <c r="L1466" s="199" t="s">
        <v>3319</v>
      </c>
      <c r="M1466" s="199" t="s">
        <v>3320</v>
      </c>
    </row>
    <row r="1467" spans="1:13" ht="85.5">
      <c r="A1467" s="199">
        <v>1466</v>
      </c>
      <c r="B1467" s="199" t="s">
        <v>4781</v>
      </c>
      <c r="C1467" s="199" t="s">
        <v>34</v>
      </c>
      <c r="D1467" s="199" t="s">
        <v>35</v>
      </c>
      <c r="E1467" s="199">
        <v>200</v>
      </c>
      <c r="F1467" s="199" t="s">
        <v>8</v>
      </c>
      <c r="G1467" s="199" t="s">
        <v>4755</v>
      </c>
      <c r="H1467" s="200">
        <v>2324</v>
      </c>
      <c r="I1467" s="199" t="s">
        <v>20</v>
      </c>
      <c r="J1467" s="199" t="s">
        <v>415</v>
      </c>
      <c r="K1467" s="201">
        <v>45414</v>
      </c>
      <c r="L1467" s="199" t="s">
        <v>3319</v>
      </c>
      <c r="M1467" s="199" t="s">
        <v>3320</v>
      </c>
    </row>
    <row r="1468" spans="1:13" ht="85.5">
      <c r="A1468" s="199">
        <v>1467</v>
      </c>
      <c r="B1468" s="199" t="s">
        <v>4782</v>
      </c>
      <c r="C1468" s="199" t="s">
        <v>34</v>
      </c>
      <c r="D1468" s="199" t="s">
        <v>35</v>
      </c>
      <c r="E1468" s="199">
        <v>200</v>
      </c>
      <c r="F1468" s="199" t="s">
        <v>8</v>
      </c>
      <c r="G1468" s="199" t="s">
        <v>4755</v>
      </c>
      <c r="H1468" s="200">
        <v>8518</v>
      </c>
      <c r="I1468" s="199" t="s">
        <v>20</v>
      </c>
      <c r="J1468" s="199" t="s">
        <v>415</v>
      </c>
      <c r="K1468" s="201">
        <v>45414</v>
      </c>
      <c r="L1468" s="199" t="s">
        <v>3319</v>
      </c>
      <c r="M1468" s="199" t="s">
        <v>3320</v>
      </c>
    </row>
    <row r="1469" spans="1:13" ht="85.5">
      <c r="A1469" s="199">
        <v>1468</v>
      </c>
      <c r="B1469" s="199" t="s">
        <v>4783</v>
      </c>
      <c r="C1469" s="199" t="s">
        <v>34</v>
      </c>
      <c r="D1469" s="199" t="s">
        <v>35</v>
      </c>
      <c r="E1469" s="199">
        <v>20</v>
      </c>
      <c r="F1469" s="199" t="s">
        <v>8</v>
      </c>
      <c r="G1469" s="199" t="s">
        <v>4755</v>
      </c>
      <c r="H1469" s="200">
        <v>284.8</v>
      </c>
      <c r="I1469" s="199" t="s">
        <v>20</v>
      </c>
      <c r="J1469" s="199" t="s">
        <v>415</v>
      </c>
      <c r="K1469" s="201">
        <v>45414</v>
      </c>
      <c r="L1469" s="199" t="s">
        <v>3319</v>
      </c>
      <c r="M1469" s="199" t="s">
        <v>3320</v>
      </c>
    </row>
    <row r="1470" spans="1:13" ht="85.5">
      <c r="A1470" s="199">
        <v>1469</v>
      </c>
      <c r="B1470" s="199" t="s">
        <v>4784</v>
      </c>
      <c r="C1470" s="199" t="s">
        <v>34</v>
      </c>
      <c r="D1470" s="199" t="s">
        <v>35</v>
      </c>
      <c r="E1470" s="199">
        <v>10</v>
      </c>
      <c r="F1470" s="199" t="s">
        <v>8</v>
      </c>
      <c r="G1470" s="199" t="s">
        <v>4755</v>
      </c>
      <c r="H1470" s="200">
        <v>1719.8</v>
      </c>
      <c r="I1470" s="199" t="s">
        <v>20</v>
      </c>
      <c r="J1470" s="199" t="s">
        <v>415</v>
      </c>
      <c r="K1470" s="201">
        <v>45414</v>
      </c>
      <c r="L1470" s="199" t="s">
        <v>3319</v>
      </c>
      <c r="M1470" s="199" t="s">
        <v>3320</v>
      </c>
    </row>
    <row r="1471" spans="1:13" ht="85.5">
      <c r="A1471" s="199">
        <v>1470</v>
      </c>
      <c r="B1471" s="199" t="s">
        <v>4785</v>
      </c>
      <c r="C1471" s="199" t="s">
        <v>34</v>
      </c>
      <c r="D1471" s="199" t="s">
        <v>35</v>
      </c>
      <c r="E1471" s="199">
        <v>500</v>
      </c>
      <c r="F1471" s="199" t="s">
        <v>4786</v>
      </c>
      <c r="G1471" s="199" t="s">
        <v>4755</v>
      </c>
      <c r="H1471" s="200">
        <v>17745</v>
      </c>
      <c r="I1471" s="199" t="s">
        <v>20</v>
      </c>
      <c r="J1471" s="199" t="s">
        <v>415</v>
      </c>
      <c r="K1471" s="201">
        <v>45414</v>
      </c>
      <c r="L1471" s="199" t="s">
        <v>3319</v>
      </c>
      <c r="M1471" s="199" t="s">
        <v>3320</v>
      </c>
    </row>
    <row r="1472" spans="1:13" ht="85.5">
      <c r="A1472" s="199">
        <v>1471</v>
      </c>
      <c r="B1472" s="199" t="s">
        <v>4787</v>
      </c>
      <c r="C1472" s="199" t="s">
        <v>34</v>
      </c>
      <c r="D1472" s="199" t="s">
        <v>35</v>
      </c>
      <c r="E1472" s="199">
        <v>30</v>
      </c>
      <c r="F1472" s="199" t="s">
        <v>8</v>
      </c>
      <c r="G1472" s="199" t="s">
        <v>4755</v>
      </c>
      <c r="H1472" s="200">
        <v>3274.8</v>
      </c>
      <c r="I1472" s="199" t="s">
        <v>20</v>
      </c>
      <c r="J1472" s="199" t="s">
        <v>415</v>
      </c>
      <c r="K1472" s="201">
        <v>45414</v>
      </c>
      <c r="L1472" s="199" t="s">
        <v>3319</v>
      </c>
      <c r="M1472" s="199" t="s">
        <v>3320</v>
      </c>
    </row>
    <row r="1473" spans="1:13" ht="85.5">
      <c r="A1473" s="199">
        <v>1472</v>
      </c>
      <c r="B1473" s="199" t="s">
        <v>4788</v>
      </c>
      <c r="C1473" s="199" t="s">
        <v>34</v>
      </c>
      <c r="D1473" s="199" t="s">
        <v>35</v>
      </c>
      <c r="E1473" s="199">
        <v>200</v>
      </c>
      <c r="F1473" s="199" t="s">
        <v>8</v>
      </c>
      <c r="G1473" s="199" t="s">
        <v>4755</v>
      </c>
      <c r="H1473" s="200">
        <v>2324</v>
      </c>
      <c r="I1473" s="199" t="s">
        <v>20</v>
      </c>
      <c r="J1473" s="199" t="s">
        <v>415</v>
      </c>
      <c r="K1473" s="201">
        <v>45414</v>
      </c>
      <c r="L1473" s="199" t="s">
        <v>3319</v>
      </c>
      <c r="M1473" s="199" t="s">
        <v>3320</v>
      </c>
    </row>
    <row r="1474" spans="1:13" ht="128.25">
      <c r="A1474" s="199">
        <v>1473</v>
      </c>
      <c r="B1474" s="199" t="s">
        <v>4789</v>
      </c>
      <c r="C1474" s="199" t="s">
        <v>34</v>
      </c>
      <c r="D1474" s="199" t="s">
        <v>35</v>
      </c>
      <c r="E1474" s="199">
        <v>2500</v>
      </c>
      <c r="F1474" s="199" t="s">
        <v>591</v>
      </c>
      <c r="G1474" s="199" t="s">
        <v>4755</v>
      </c>
      <c r="H1474" s="200">
        <v>189275</v>
      </c>
      <c r="I1474" s="199" t="s">
        <v>20</v>
      </c>
      <c r="J1474" s="199" t="s">
        <v>415</v>
      </c>
      <c r="K1474" s="201">
        <v>45414</v>
      </c>
      <c r="L1474" s="199" t="s">
        <v>3319</v>
      </c>
      <c r="M1474" s="199" t="s">
        <v>3320</v>
      </c>
    </row>
    <row r="1475" spans="1:13" ht="85.5">
      <c r="A1475" s="199">
        <v>1474</v>
      </c>
      <c r="B1475" s="199" t="s">
        <v>4790</v>
      </c>
      <c r="C1475" s="199" t="s">
        <v>34</v>
      </c>
      <c r="D1475" s="199" t="s">
        <v>35</v>
      </c>
      <c r="E1475" s="199">
        <v>50</v>
      </c>
      <c r="F1475" s="199" t="s">
        <v>2378</v>
      </c>
      <c r="G1475" s="199" t="s">
        <v>4755</v>
      </c>
      <c r="H1475" s="200">
        <v>2551</v>
      </c>
      <c r="I1475" s="199" t="s">
        <v>20</v>
      </c>
      <c r="J1475" s="199" t="s">
        <v>415</v>
      </c>
      <c r="K1475" s="201">
        <v>45414</v>
      </c>
      <c r="L1475" s="199" t="s">
        <v>3319</v>
      </c>
      <c r="M1475" s="199" t="s">
        <v>3320</v>
      </c>
    </row>
    <row r="1476" spans="1:13" ht="85.5">
      <c r="A1476" s="199">
        <v>1475</v>
      </c>
      <c r="B1476" s="199" t="s">
        <v>4791</v>
      </c>
      <c r="C1476" s="199" t="s">
        <v>34</v>
      </c>
      <c r="D1476" s="199" t="s">
        <v>35</v>
      </c>
      <c r="E1476" s="199">
        <v>20</v>
      </c>
      <c r="F1476" s="199" t="s">
        <v>8</v>
      </c>
      <c r="G1476" s="199" t="s">
        <v>4755</v>
      </c>
      <c r="H1476" s="200">
        <v>372.2</v>
      </c>
      <c r="I1476" s="199" t="s">
        <v>20</v>
      </c>
      <c r="J1476" s="199" t="s">
        <v>415</v>
      </c>
      <c r="K1476" s="201">
        <v>45414</v>
      </c>
      <c r="L1476" s="199" t="s">
        <v>3319</v>
      </c>
      <c r="M1476" s="199" t="s">
        <v>3320</v>
      </c>
    </row>
    <row r="1477" spans="1:13" ht="85.5">
      <c r="A1477" s="199">
        <v>1476</v>
      </c>
      <c r="B1477" s="199" t="s">
        <v>4792</v>
      </c>
      <c r="C1477" s="199" t="s">
        <v>34</v>
      </c>
      <c r="D1477" s="199" t="s">
        <v>35</v>
      </c>
      <c r="E1477" s="199">
        <v>20</v>
      </c>
      <c r="F1477" s="199" t="s">
        <v>8</v>
      </c>
      <c r="G1477" s="199" t="s">
        <v>4755</v>
      </c>
      <c r="H1477" s="200">
        <v>379</v>
      </c>
      <c r="I1477" s="199" t="s">
        <v>20</v>
      </c>
      <c r="J1477" s="199" t="s">
        <v>415</v>
      </c>
      <c r="K1477" s="201">
        <v>45414</v>
      </c>
      <c r="L1477" s="199" t="s">
        <v>3319</v>
      </c>
      <c r="M1477" s="199" t="s">
        <v>3320</v>
      </c>
    </row>
    <row r="1478" spans="1:13" ht="85.5">
      <c r="A1478" s="199">
        <v>1477</v>
      </c>
      <c r="B1478" s="199" t="s">
        <v>4793</v>
      </c>
      <c r="C1478" s="199" t="s">
        <v>34</v>
      </c>
      <c r="D1478" s="199" t="s">
        <v>35</v>
      </c>
      <c r="E1478" s="199">
        <v>20</v>
      </c>
      <c r="F1478" s="199" t="s">
        <v>8</v>
      </c>
      <c r="G1478" s="199" t="s">
        <v>4755</v>
      </c>
      <c r="H1478" s="200">
        <v>534</v>
      </c>
      <c r="I1478" s="199" t="s">
        <v>20</v>
      </c>
      <c r="J1478" s="199" t="s">
        <v>415</v>
      </c>
      <c r="K1478" s="201">
        <v>45414</v>
      </c>
      <c r="L1478" s="199" t="s">
        <v>3319</v>
      </c>
      <c r="M1478" s="199" t="s">
        <v>3320</v>
      </c>
    </row>
    <row r="1479" spans="1:13" ht="85.5">
      <c r="A1479" s="199">
        <v>1478</v>
      </c>
      <c r="B1479" s="199" t="s">
        <v>4794</v>
      </c>
      <c r="C1479" s="199" t="s">
        <v>34</v>
      </c>
      <c r="D1479" s="199" t="s">
        <v>35</v>
      </c>
      <c r="E1479" s="199">
        <v>10</v>
      </c>
      <c r="F1479" s="199" t="s">
        <v>8</v>
      </c>
      <c r="G1479" s="199" t="s">
        <v>4755</v>
      </c>
      <c r="H1479" s="200">
        <v>261.5</v>
      </c>
      <c r="I1479" s="199" t="s">
        <v>20</v>
      </c>
      <c r="J1479" s="199" t="s">
        <v>415</v>
      </c>
      <c r="K1479" s="201">
        <v>45414</v>
      </c>
      <c r="L1479" s="199" t="s">
        <v>3319</v>
      </c>
      <c r="M1479" s="199" t="s">
        <v>3320</v>
      </c>
    </row>
    <row r="1480" spans="1:13" ht="85.5">
      <c r="A1480" s="199">
        <v>1479</v>
      </c>
      <c r="B1480" s="199" t="s">
        <v>4795</v>
      </c>
      <c r="C1480" s="199" t="s">
        <v>34</v>
      </c>
      <c r="D1480" s="199" t="s">
        <v>35</v>
      </c>
      <c r="E1480" s="199">
        <v>200</v>
      </c>
      <c r="F1480" s="199" t="s">
        <v>679</v>
      </c>
      <c r="G1480" s="199" t="s">
        <v>4755</v>
      </c>
      <c r="H1480" s="200">
        <v>17982</v>
      </c>
      <c r="I1480" s="199" t="s">
        <v>20</v>
      </c>
      <c r="J1480" s="199" t="s">
        <v>415</v>
      </c>
      <c r="K1480" s="201">
        <v>45414</v>
      </c>
      <c r="L1480" s="199" t="s">
        <v>3319</v>
      </c>
      <c r="M1480" s="199" t="s">
        <v>3320</v>
      </c>
    </row>
    <row r="1481" spans="1:13" ht="128.25">
      <c r="A1481" s="199">
        <v>1480</v>
      </c>
      <c r="B1481" s="199" t="s">
        <v>4796</v>
      </c>
      <c r="C1481" s="199" t="s">
        <v>34</v>
      </c>
      <c r="D1481" s="199" t="s">
        <v>35</v>
      </c>
      <c r="E1481" s="199">
        <v>250</v>
      </c>
      <c r="F1481" s="199" t="s">
        <v>679</v>
      </c>
      <c r="G1481" s="199" t="s">
        <v>4755</v>
      </c>
      <c r="H1481" s="200">
        <v>35595</v>
      </c>
      <c r="I1481" s="199" t="s">
        <v>20</v>
      </c>
      <c r="J1481" s="199" t="s">
        <v>415</v>
      </c>
      <c r="K1481" s="201">
        <v>45414</v>
      </c>
      <c r="L1481" s="199" t="s">
        <v>3319</v>
      </c>
      <c r="M1481" s="199" t="s">
        <v>3320</v>
      </c>
    </row>
    <row r="1482" spans="1:13" ht="128.25">
      <c r="A1482" s="199">
        <v>1481</v>
      </c>
      <c r="B1482" s="199" t="s">
        <v>4797</v>
      </c>
      <c r="C1482" s="199" t="s">
        <v>34</v>
      </c>
      <c r="D1482" s="199" t="s">
        <v>35</v>
      </c>
      <c r="E1482" s="199">
        <v>200</v>
      </c>
      <c r="F1482" s="199" t="s">
        <v>679</v>
      </c>
      <c r="G1482" s="199" t="s">
        <v>4755</v>
      </c>
      <c r="H1482" s="200">
        <v>27888</v>
      </c>
      <c r="I1482" s="199" t="s">
        <v>20</v>
      </c>
      <c r="J1482" s="199" t="s">
        <v>415</v>
      </c>
      <c r="K1482" s="201">
        <v>45414</v>
      </c>
      <c r="L1482" s="199" t="s">
        <v>3319</v>
      </c>
      <c r="M1482" s="199" t="s">
        <v>3320</v>
      </c>
    </row>
    <row r="1483" spans="1:13" ht="128.25">
      <c r="A1483" s="199">
        <v>1482</v>
      </c>
      <c r="B1483" s="199" t="s">
        <v>4798</v>
      </c>
      <c r="C1483" s="199" t="s">
        <v>34</v>
      </c>
      <c r="D1483" s="199" t="s">
        <v>35</v>
      </c>
      <c r="E1483" s="199">
        <v>50</v>
      </c>
      <c r="F1483" s="199" t="s">
        <v>679</v>
      </c>
      <c r="G1483" s="199" t="s">
        <v>4755</v>
      </c>
      <c r="H1483" s="200">
        <v>7098</v>
      </c>
      <c r="I1483" s="199" t="s">
        <v>20</v>
      </c>
      <c r="J1483" s="199" t="s">
        <v>415</v>
      </c>
      <c r="K1483" s="201">
        <v>45414</v>
      </c>
      <c r="L1483" s="199" t="s">
        <v>3319</v>
      </c>
      <c r="M1483" s="199" t="s">
        <v>3320</v>
      </c>
    </row>
    <row r="1484" spans="1:13" ht="171">
      <c r="A1484" s="199">
        <v>1483</v>
      </c>
      <c r="B1484" s="199" t="s">
        <v>4799</v>
      </c>
      <c r="C1484" s="199" t="s">
        <v>34</v>
      </c>
      <c r="D1484" s="199" t="s">
        <v>35</v>
      </c>
      <c r="E1484" s="199">
        <v>50</v>
      </c>
      <c r="F1484" s="199" t="s">
        <v>679</v>
      </c>
      <c r="G1484" s="199" t="s">
        <v>4755</v>
      </c>
      <c r="H1484" s="200">
        <v>7119</v>
      </c>
      <c r="I1484" s="199" t="s">
        <v>20</v>
      </c>
      <c r="J1484" s="199" t="s">
        <v>415</v>
      </c>
      <c r="K1484" s="201">
        <v>45414</v>
      </c>
      <c r="L1484" s="199" t="s">
        <v>3319</v>
      </c>
      <c r="M1484" s="199" t="s">
        <v>3320</v>
      </c>
    </row>
    <row r="1485" spans="1:13" ht="171">
      <c r="A1485" s="199">
        <v>1484</v>
      </c>
      <c r="B1485" s="199" t="s">
        <v>4800</v>
      </c>
      <c r="C1485" s="199" t="s">
        <v>34</v>
      </c>
      <c r="D1485" s="199" t="s">
        <v>35</v>
      </c>
      <c r="E1485" s="199">
        <v>50</v>
      </c>
      <c r="F1485" s="199" t="s">
        <v>679</v>
      </c>
      <c r="G1485" s="199" t="s">
        <v>4755</v>
      </c>
      <c r="H1485" s="200">
        <v>6972</v>
      </c>
      <c r="I1485" s="199" t="s">
        <v>20</v>
      </c>
      <c r="J1485" s="199" t="s">
        <v>415</v>
      </c>
      <c r="K1485" s="201">
        <v>45414</v>
      </c>
      <c r="L1485" s="199" t="s">
        <v>3319</v>
      </c>
      <c r="M1485" s="199" t="s">
        <v>3320</v>
      </c>
    </row>
    <row r="1486" spans="1:13" ht="85.5">
      <c r="A1486" s="199">
        <v>1485</v>
      </c>
      <c r="B1486" s="199" t="s">
        <v>4801</v>
      </c>
      <c r="C1486" s="199" t="s">
        <v>34</v>
      </c>
      <c r="D1486" s="199" t="s">
        <v>35</v>
      </c>
      <c r="E1486" s="199">
        <v>5</v>
      </c>
      <c r="F1486" s="199" t="s">
        <v>679</v>
      </c>
      <c r="G1486" s="199" t="s">
        <v>4755</v>
      </c>
      <c r="H1486" s="200">
        <v>354.9</v>
      </c>
      <c r="I1486" s="199" t="s">
        <v>20</v>
      </c>
      <c r="J1486" s="199" t="s">
        <v>415</v>
      </c>
      <c r="K1486" s="201">
        <v>45414</v>
      </c>
      <c r="L1486" s="199" t="s">
        <v>3319</v>
      </c>
      <c r="M1486" s="199" t="s">
        <v>3320</v>
      </c>
    </row>
    <row r="1487" spans="1:13" ht="85.5">
      <c r="A1487" s="199">
        <v>1486</v>
      </c>
      <c r="B1487" s="199" t="s">
        <v>4802</v>
      </c>
      <c r="C1487" s="199" t="s">
        <v>34</v>
      </c>
      <c r="D1487" s="199" t="s">
        <v>35</v>
      </c>
      <c r="E1487" s="199">
        <v>15</v>
      </c>
      <c r="F1487" s="199" t="s">
        <v>679</v>
      </c>
      <c r="G1487" s="199" t="s">
        <v>4755</v>
      </c>
      <c r="H1487" s="200">
        <v>1067.8499999999999</v>
      </c>
      <c r="I1487" s="199" t="s">
        <v>20</v>
      </c>
      <c r="J1487" s="199" t="s">
        <v>415</v>
      </c>
      <c r="K1487" s="201">
        <v>45414</v>
      </c>
      <c r="L1487" s="199" t="s">
        <v>3319</v>
      </c>
      <c r="M1487" s="199" t="s">
        <v>3320</v>
      </c>
    </row>
    <row r="1488" spans="1:13" ht="85.5">
      <c r="A1488" s="199">
        <v>1487</v>
      </c>
      <c r="B1488" s="199" t="s">
        <v>4803</v>
      </c>
      <c r="C1488" s="199" t="s">
        <v>34</v>
      </c>
      <c r="D1488" s="199" t="s">
        <v>35</v>
      </c>
      <c r="E1488" s="199">
        <v>15</v>
      </c>
      <c r="F1488" s="199" t="s">
        <v>679</v>
      </c>
      <c r="G1488" s="199" t="s">
        <v>4755</v>
      </c>
      <c r="H1488" s="200">
        <v>1045.8</v>
      </c>
      <c r="I1488" s="199" t="s">
        <v>20</v>
      </c>
      <c r="J1488" s="199" t="s">
        <v>415</v>
      </c>
      <c r="K1488" s="201">
        <v>45414</v>
      </c>
      <c r="L1488" s="199" t="s">
        <v>3319</v>
      </c>
      <c r="M1488" s="199" t="s">
        <v>3320</v>
      </c>
    </row>
    <row r="1489" spans="1:13" ht="85.5">
      <c r="A1489" s="199">
        <v>1488</v>
      </c>
      <c r="B1489" s="199" t="s">
        <v>4804</v>
      </c>
      <c r="C1489" s="199" t="s">
        <v>34</v>
      </c>
      <c r="D1489" s="199" t="s">
        <v>35</v>
      </c>
      <c r="E1489" s="199">
        <v>10</v>
      </c>
      <c r="F1489" s="199" t="s">
        <v>8</v>
      </c>
      <c r="G1489" s="199" t="s">
        <v>4755</v>
      </c>
      <c r="H1489" s="200">
        <v>662.5</v>
      </c>
      <c r="I1489" s="199" t="s">
        <v>20</v>
      </c>
      <c r="J1489" s="199" t="s">
        <v>415</v>
      </c>
      <c r="K1489" s="201">
        <v>45414</v>
      </c>
      <c r="L1489" s="199" t="s">
        <v>3319</v>
      </c>
      <c r="M1489" s="199" t="s">
        <v>3320</v>
      </c>
    </row>
    <row r="1490" spans="1:13" ht="85.5">
      <c r="A1490" s="199">
        <v>1489</v>
      </c>
      <c r="B1490" s="199" t="s">
        <v>4805</v>
      </c>
      <c r="C1490" s="199" t="s">
        <v>34</v>
      </c>
      <c r="D1490" s="199" t="s">
        <v>35</v>
      </c>
      <c r="E1490" s="199">
        <v>300</v>
      </c>
      <c r="F1490" s="199" t="s">
        <v>8</v>
      </c>
      <c r="G1490" s="199" t="s">
        <v>4755</v>
      </c>
      <c r="H1490" s="200">
        <v>1068</v>
      </c>
      <c r="I1490" s="199" t="s">
        <v>20</v>
      </c>
      <c r="J1490" s="199" t="s">
        <v>415</v>
      </c>
      <c r="K1490" s="201">
        <v>45414</v>
      </c>
      <c r="L1490" s="199" t="s">
        <v>3319</v>
      </c>
      <c r="M1490" s="199" t="s">
        <v>3320</v>
      </c>
    </row>
    <row r="1491" spans="1:13" ht="85.5">
      <c r="A1491" s="199">
        <v>1490</v>
      </c>
      <c r="B1491" s="199" t="s">
        <v>4096</v>
      </c>
      <c r="C1491" s="199" t="s">
        <v>34</v>
      </c>
      <c r="D1491" s="199" t="s">
        <v>35</v>
      </c>
      <c r="E1491" s="199">
        <v>150</v>
      </c>
      <c r="F1491" s="199" t="s">
        <v>8</v>
      </c>
      <c r="G1491" s="199" t="s">
        <v>4755</v>
      </c>
      <c r="H1491" s="200">
        <v>523.5</v>
      </c>
      <c r="I1491" s="199" t="s">
        <v>20</v>
      </c>
      <c r="J1491" s="199" t="s">
        <v>415</v>
      </c>
      <c r="K1491" s="201">
        <v>45414</v>
      </c>
      <c r="L1491" s="199" t="s">
        <v>3319</v>
      </c>
      <c r="M1491" s="199" t="s">
        <v>3320</v>
      </c>
    </row>
    <row r="1492" spans="1:13" ht="85.5">
      <c r="A1492" s="199">
        <v>1491</v>
      </c>
      <c r="B1492" s="199" t="s">
        <v>4806</v>
      </c>
      <c r="C1492" s="199" t="s">
        <v>34</v>
      </c>
      <c r="D1492" s="199" t="s">
        <v>35</v>
      </c>
      <c r="E1492" s="199">
        <v>150</v>
      </c>
      <c r="F1492" s="199" t="s">
        <v>8</v>
      </c>
      <c r="G1492" s="199" t="s">
        <v>4755</v>
      </c>
      <c r="H1492" s="200">
        <v>532.5</v>
      </c>
      <c r="I1492" s="199" t="s">
        <v>20</v>
      </c>
      <c r="J1492" s="199" t="s">
        <v>415</v>
      </c>
      <c r="K1492" s="201">
        <v>45414</v>
      </c>
      <c r="L1492" s="199" t="s">
        <v>3319</v>
      </c>
      <c r="M1492" s="199" t="s">
        <v>3320</v>
      </c>
    </row>
    <row r="1493" spans="1:13" ht="85.5">
      <c r="A1493" s="199">
        <v>1492</v>
      </c>
      <c r="B1493" s="199" t="s">
        <v>4807</v>
      </c>
      <c r="C1493" s="199" t="s">
        <v>34</v>
      </c>
      <c r="D1493" s="199" t="s">
        <v>35</v>
      </c>
      <c r="E1493" s="199">
        <v>150</v>
      </c>
      <c r="F1493" s="199" t="s">
        <v>8</v>
      </c>
      <c r="G1493" s="199" t="s">
        <v>4755</v>
      </c>
      <c r="H1493" s="200">
        <v>534</v>
      </c>
      <c r="I1493" s="199" t="s">
        <v>20</v>
      </c>
      <c r="J1493" s="199" t="s">
        <v>415</v>
      </c>
      <c r="K1493" s="201">
        <v>45414</v>
      </c>
      <c r="L1493" s="199" t="s">
        <v>3319</v>
      </c>
      <c r="M1493" s="199" t="s">
        <v>3320</v>
      </c>
    </row>
    <row r="1494" spans="1:13" ht="85.5">
      <c r="A1494" s="199">
        <v>1493</v>
      </c>
      <c r="B1494" s="199" t="s">
        <v>4808</v>
      </c>
      <c r="C1494" s="199" t="s">
        <v>34</v>
      </c>
      <c r="D1494" s="199" t="s">
        <v>35</v>
      </c>
      <c r="E1494" s="199">
        <v>5</v>
      </c>
      <c r="F1494" s="199" t="s">
        <v>8</v>
      </c>
      <c r="G1494" s="199" t="s">
        <v>4755</v>
      </c>
      <c r="H1494" s="200">
        <v>255.65</v>
      </c>
      <c r="I1494" s="199" t="s">
        <v>20</v>
      </c>
      <c r="J1494" s="199" t="s">
        <v>415</v>
      </c>
      <c r="K1494" s="201">
        <v>45414</v>
      </c>
      <c r="L1494" s="199" t="s">
        <v>3319</v>
      </c>
      <c r="M1494" s="199" t="s">
        <v>3320</v>
      </c>
    </row>
    <row r="1495" spans="1:13" ht="85.5">
      <c r="A1495" s="199">
        <v>1494</v>
      </c>
      <c r="B1495" s="199" t="s">
        <v>4809</v>
      </c>
      <c r="C1495" s="199" t="s">
        <v>34</v>
      </c>
      <c r="D1495" s="199" t="s">
        <v>35</v>
      </c>
      <c r="E1495" s="199">
        <v>5</v>
      </c>
      <c r="F1495" s="199" t="s">
        <v>8</v>
      </c>
      <c r="G1495" s="199" t="s">
        <v>4755</v>
      </c>
      <c r="H1495" s="200">
        <v>147.9</v>
      </c>
      <c r="I1495" s="199" t="s">
        <v>20</v>
      </c>
      <c r="J1495" s="199" t="s">
        <v>415</v>
      </c>
      <c r="K1495" s="201">
        <v>45414</v>
      </c>
      <c r="L1495" s="199" t="s">
        <v>3319</v>
      </c>
      <c r="M1495" s="199" t="s">
        <v>3320</v>
      </c>
    </row>
    <row r="1496" spans="1:13" ht="85.5">
      <c r="A1496" s="199">
        <v>1495</v>
      </c>
      <c r="B1496" s="199" t="s">
        <v>4810</v>
      </c>
      <c r="C1496" s="199" t="s">
        <v>34</v>
      </c>
      <c r="D1496" s="199" t="s">
        <v>35</v>
      </c>
      <c r="E1496" s="199">
        <v>5</v>
      </c>
      <c r="F1496" s="199" t="s">
        <v>8</v>
      </c>
      <c r="G1496" s="199" t="s">
        <v>4755</v>
      </c>
      <c r="H1496" s="200">
        <v>237.3</v>
      </c>
      <c r="I1496" s="199" t="s">
        <v>20</v>
      </c>
      <c r="J1496" s="199" t="s">
        <v>415</v>
      </c>
      <c r="K1496" s="201">
        <v>45414</v>
      </c>
      <c r="L1496" s="199" t="s">
        <v>3319</v>
      </c>
      <c r="M1496" s="199" t="s">
        <v>3320</v>
      </c>
    </row>
    <row r="1497" spans="1:13" ht="85.5">
      <c r="A1497" s="199">
        <v>1496</v>
      </c>
      <c r="B1497" s="199" t="s">
        <v>4811</v>
      </c>
      <c r="C1497" s="199" t="s">
        <v>34</v>
      </c>
      <c r="D1497" s="199" t="s">
        <v>35</v>
      </c>
      <c r="E1497" s="199">
        <v>5</v>
      </c>
      <c r="F1497" s="199" t="s">
        <v>8</v>
      </c>
      <c r="G1497" s="199" t="s">
        <v>4755</v>
      </c>
      <c r="H1497" s="200">
        <v>232.4</v>
      </c>
      <c r="I1497" s="199" t="s">
        <v>20</v>
      </c>
      <c r="J1497" s="199" t="s">
        <v>415</v>
      </c>
      <c r="K1497" s="201">
        <v>45414</v>
      </c>
      <c r="L1497" s="199" t="s">
        <v>3319</v>
      </c>
      <c r="M1497" s="199" t="s">
        <v>3320</v>
      </c>
    </row>
    <row r="1498" spans="1:13" ht="85.5">
      <c r="A1498" s="199">
        <v>1497</v>
      </c>
      <c r="B1498" s="199" t="s">
        <v>4812</v>
      </c>
      <c r="C1498" s="199" t="s">
        <v>34</v>
      </c>
      <c r="D1498" s="199" t="s">
        <v>35</v>
      </c>
      <c r="E1498" s="199">
        <v>5</v>
      </c>
      <c r="F1498" s="199" t="s">
        <v>8</v>
      </c>
      <c r="G1498" s="199" t="s">
        <v>4755</v>
      </c>
      <c r="H1498" s="200">
        <v>201.1</v>
      </c>
      <c r="I1498" s="199" t="s">
        <v>20</v>
      </c>
      <c r="J1498" s="199" t="s">
        <v>415</v>
      </c>
      <c r="K1498" s="201">
        <v>45414</v>
      </c>
      <c r="L1498" s="199" t="s">
        <v>3319</v>
      </c>
      <c r="M1498" s="199" t="s">
        <v>3320</v>
      </c>
    </row>
    <row r="1499" spans="1:13" ht="85.5">
      <c r="A1499" s="199">
        <v>1498</v>
      </c>
      <c r="B1499" s="199" t="s">
        <v>4813</v>
      </c>
      <c r="C1499" s="199" t="s">
        <v>34</v>
      </c>
      <c r="D1499" s="199" t="s">
        <v>35</v>
      </c>
      <c r="E1499" s="199">
        <v>5</v>
      </c>
      <c r="F1499" s="199" t="s">
        <v>8</v>
      </c>
      <c r="G1499" s="199" t="s">
        <v>4755</v>
      </c>
      <c r="H1499" s="200">
        <v>201.7</v>
      </c>
      <c r="I1499" s="199" t="s">
        <v>20</v>
      </c>
      <c r="J1499" s="199" t="s">
        <v>415</v>
      </c>
      <c r="K1499" s="201">
        <v>45414</v>
      </c>
      <c r="L1499" s="199" t="s">
        <v>3319</v>
      </c>
      <c r="M1499" s="199" t="s">
        <v>3320</v>
      </c>
    </row>
    <row r="1500" spans="1:13" ht="85.5">
      <c r="A1500" s="199">
        <v>1499</v>
      </c>
      <c r="B1500" s="199" t="s">
        <v>4814</v>
      </c>
      <c r="C1500" s="199" t="s">
        <v>34</v>
      </c>
      <c r="D1500" s="199" t="s">
        <v>35</v>
      </c>
      <c r="E1500" s="199">
        <v>10</v>
      </c>
      <c r="F1500" s="199" t="s">
        <v>8</v>
      </c>
      <c r="G1500" s="199" t="s">
        <v>4755</v>
      </c>
      <c r="H1500" s="200">
        <v>1208.5</v>
      </c>
      <c r="I1500" s="199" t="s">
        <v>20</v>
      </c>
      <c r="J1500" s="199" t="s">
        <v>415</v>
      </c>
      <c r="K1500" s="201">
        <v>45414</v>
      </c>
      <c r="L1500" s="199" t="s">
        <v>3319</v>
      </c>
      <c r="M1500" s="199" t="s">
        <v>3320</v>
      </c>
    </row>
    <row r="1501" spans="1:13" ht="85.5">
      <c r="A1501" s="199">
        <v>1500</v>
      </c>
      <c r="B1501" s="199" t="s">
        <v>4815</v>
      </c>
      <c r="C1501" s="199" t="s">
        <v>34</v>
      </c>
      <c r="D1501" s="199" t="s">
        <v>35</v>
      </c>
      <c r="E1501" s="199">
        <v>5</v>
      </c>
      <c r="F1501" s="199" t="s">
        <v>8</v>
      </c>
      <c r="G1501" s="199" t="s">
        <v>4755</v>
      </c>
      <c r="H1501" s="200">
        <v>662.5</v>
      </c>
      <c r="I1501" s="199" t="s">
        <v>20</v>
      </c>
      <c r="J1501" s="199" t="s">
        <v>415</v>
      </c>
      <c r="K1501" s="201">
        <v>45414</v>
      </c>
      <c r="L1501" s="199" t="s">
        <v>3319</v>
      </c>
      <c r="M1501" s="199" t="s">
        <v>3320</v>
      </c>
    </row>
    <row r="1502" spans="1:13" ht="85.5">
      <c r="A1502" s="199">
        <v>1501</v>
      </c>
      <c r="B1502" s="199" t="s">
        <v>4816</v>
      </c>
      <c r="C1502" s="199" t="s">
        <v>34</v>
      </c>
      <c r="D1502" s="199" t="s">
        <v>35</v>
      </c>
      <c r="E1502" s="199">
        <v>5</v>
      </c>
      <c r="F1502" s="199" t="s">
        <v>8</v>
      </c>
      <c r="G1502" s="199" t="s">
        <v>4755</v>
      </c>
      <c r="H1502" s="200">
        <v>664.45</v>
      </c>
      <c r="I1502" s="199" t="s">
        <v>20</v>
      </c>
      <c r="J1502" s="199" t="s">
        <v>415</v>
      </c>
      <c r="K1502" s="201">
        <v>45414</v>
      </c>
      <c r="L1502" s="199" t="s">
        <v>3319</v>
      </c>
      <c r="M1502" s="199" t="s">
        <v>3320</v>
      </c>
    </row>
    <row r="1503" spans="1:13" ht="85.5">
      <c r="A1503" s="199">
        <v>1502</v>
      </c>
      <c r="B1503" s="199" t="s">
        <v>4817</v>
      </c>
      <c r="C1503" s="199" t="s">
        <v>34</v>
      </c>
      <c r="D1503" s="199" t="s">
        <v>35</v>
      </c>
      <c r="E1503" s="199">
        <v>10</v>
      </c>
      <c r="F1503" s="199" t="s">
        <v>8</v>
      </c>
      <c r="G1503" s="199" t="s">
        <v>4755</v>
      </c>
      <c r="H1503" s="200">
        <v>1045.8</v>
      </c>
      <c r="I1503" s="199" t="s">
        <v>20</v>
      </c>
      <c r="J1503" s="199" t="s">
        <v>415</v>
      </c>
      <c r="K1503" s="201">
        <v>45414</v>
      </c>
      <c r="L1503" s="199" t="s">
        <v>3319</v>
      </c>
      <c r="M1503" s="199" t="s">
        <v>3320</v>
      </c>
    </row>
    <row r="1504" spans="1:13" ht="85.5">
      <c r="A1504" s="199">
        <v>1503</v>
      </c>
      <c r="B1504" s="199" t="s">
        <v>4818</v>
      </c>
      <c r="C1504" s="199" t="s">
        <v>34</v>
      </c>
      <c r="D1504" s="199" t="s">
        <v>35</v>
      </c>
      <c r="E1504" s="199">
        <v>15</v>
      </c>
      <c r="F1504" s="199" t="s">
        <v>8</v>
      </c>
      <c r="G1504" s="199" t="s">
        <v>4755</v>
      </c>
      <c r="H1504" s="200">
        <v>1064.7</v>
      </c>
      <c r="I1504" s="199" t="s">
        <v>20</v>
      </c>
      <c r="J1504" s="199" t="s">
        <v>415</v>
      </c>
      <c r="K1504" s="201">
        <v>45414</v>
      </c>
      <c r="L1504" s="199" t="s">
        <v>3319</v>
      </c>
      <c r="M1504" s="199" t="s">
        <v>3320</v>
      </c>
    </row>
    <row r="1505" spans="1:13" ht="85.5">
      <c r="A1505" s="199">
        <v>1504</v>
      </c>
      <c r="B1505" s="199" t="s">
        <v>4819</v>
      </c>
      <c r="C1505" s="199" t="s">
        <v>34</v>
      </c>
      <c r="D1505" s="199" t="s">
        <v>35</v>
      </c>
      <c r="E1505" s="199">
        <v>15</v>
      </c>
      <c r="F1505" s="199" t="s">
        <v>8</v>
      </c>
      <c r="G1505" s="199" t="s">
        <v>4755</v>
      </c>
      <c r="H1505" s="200">
        <v>888.45</v>
      </c>
      <c r="I1505" s="199" t="s">
        <v>20</v>
      </c>
      <c r="J1505" s="199" t="s">
        <v>415</v>
      </c>
      <c r="K1505" s="201">
        <v>45414</v>
      </c>
      <c r="L1505" s="199" t="s">
        <v>3319</v>
      </c>
      <c r="M1505" s="199" t="s">
        <v>3320</v>
      </c>
    </row>
    <row r="1506" spans="1:13" ht="85.5">
      <c r="A1506" s="199">
        <v>1505</v>
      </c>
      <c r="B1506" s="199" t="s">
        <v>4820</v>
      </c>
      <c r="C1506" s="199" t="s">
        <v>34</v>
      </c>
      <c r="D1506" s="199" t="s">
        <v>35</v>
      </c>
      <c r="E1506" s="199">
        <v>15</v>
      </c>
      <c r="F1506" s="199" t="s">
        <v>8</v>
      </c>
      <c r="G1506" s="199" t="s">
        <v>4755</v>
      </c>
      <c r="H1506" s="200">
        <v>270.60000000000002</v>
      </c>
      <c r="I1506" s="199" t="s">
        <v>20</v>
      </c>
      <c r="J1506" s="199" t="s">
        <v>415</v>
      </c>
      <c r="K1506" s="201">
        <v>45414</v>
      </c>
      <c r="L1506" s="199" t="s">
        <v>3319</v>
      </c>
      <c r="M1506" s="199" t="s">
        <v>3320</v>
      </c>
    </row>
    <row r="1507" spans="1:13" ht="85.5">
      <c r="A1507" s="199">
        <v>1506</v>
      </c>
      <c r="B1507" s="199" t="s">
        <v>4821</v>
      </c>
      <c r="C1507" s="199" t="s">
        <v>34</v>
      </c>
      <c r="D1507" s="199" t="s">
        <v>35</v>
      </c>
      <c r="E1507" s="199">
        <v>300</v>
      </c>
      <c r="F1507" s="199" t="s">
        <v>679</v>
      </c>
      <c r="G1507" s="199" t="s">
        <v>4755</v>
      </c>
      <c r="H1507" s="200">
        <v>18456</v>
      </c>
      <c r="I1507" s="199" t="s">
        <v>20</v>
      </c>
      <c r="J1507" s="199" t="s">
        <v>415</v>
      </c>
      <c r="K1507" s="201">
        <v>45414</v>
      </c>
      <c r="L1507" s="199" t="s">
        <v>3319</v>
      </c>
      <c r="M1507" s="199" t="s">
        <v>3320</v>
      </c>
    </row>
    <row r="1508" spans="1:13" ht="85.5">
      <c r="A1508" s="199">
        <v>1507</v>
      </c>
      <c r="B1508" s="199" t="s">
        <v>4822</v>
      </c>
      <c r="C1508" s="199" t="s">
        <v>34</v>
      </c>
      <c r="D1508" s="199" t="s">
        <v>35</v>
      </c>
      <c r="E1508" s="199">
        <v>10</v>
      </c>
      <c r="F1508" s="199" t="s">
        <v>8</v>
      </c>
      <c r="G1508" s="199" t="s">
        <v>4755</v>
      </c>
      <c r="H1508" s="200">
        <v>1067.9000000000001</v>
      </c>
      <c r="I1508" s="199" t="s">
        <v>20</v>
      </c>
      <c r="J1508" s="199" t="s">
        <v>415</v>
      </c>
      <c r="K1508" s="201">
        <v>45414</v>
      </c>
      <c r="L1508" s="199" t="s">
        <v>3319</v>
      </c>
      <c r="M1508" s="199" t="s">
        <v>3320</v>
      </c>
    </row>
    <row r="1509" spans="1:13" ht="85.5">
      <c r="A1509" s="199">
        <v>1508</v>
      </c>
      <c r="B1509" s="199" t="s">
        <v>4823</v>
      </c>
      <c r="C1509" s="199" t="s">
        <v>34</v>
      </c>
      <c r="D1509" s="199" t="s">
        <v>35</v>
      </c>
      <c r="E1509" s="199">
        <v>10</v>
      </c>
      <c r="F1509" s="199" t="s">
        <v>8</v>
      </c>
      <c r="G1509" s="199" t="s">
        <v>4755</v>
      </c>
      <c r="H1509" s="200">
        <v>418.3</v>
      </c>
      <c r="I1509" s="199" t="s">
        <v>20</v>
      </c>
      <c r="J1509" s="199" t="s">
        <v>415</v>
      </c>
      <c r="K1509" s="201">
        <v>45414</v>
      </c>
      <c r="L1509" s="199" t="s">
        <v>3319</v>
      </c>
      <c r="M1509" s="199" t="s">
        <v>3320</v>
      </c>
    </row>
    <row r="1510" spans="1:13" ht="85.5">
      <c r="A1510" s="199">
        <v>1509</v>
      </c>
      <c r="B1510" s="199" t="s">
        <v>4824</v>
      </c>
      <c r="C1510" s="199" t="s">
        <v>34</v>
      </c>
      <c r="D1510" s="199" t="s">
        <v>35</v>
      </c>
      <c r="E1510" s="199">
        <v>10</v>
      </c>
      <c r="F1510" s="199" t="s">
        <v>8</v>
      </c>
      <c r="G1510" s="199" t="s">
        <v>4755</v>
      </c>
      <c r="H1510" s="200">
        <v>1301.3</v>
      </c>
      <c r="I1510" s="199" t="s">
        <v>20</v>
      </c>
      <c r="J1510" s="199" t="s">
        <v>415</v>
      </c>
      <c r="K1510" s="201">
        <v>45414</v>
      </c>
      <c r="L1510" s="199" t="s">
        <v>3319</v>
      </c>
      <c r="M1510" s="199" t="s">
        <v>3320</v>
      </c>
    </row>
    <row r="1511" spans="1:13" ht="85.5">
      <c r="A1511" s="199">
        <v>1510</v>
      </c>
      <c r="B1511" s="199" t="s">
        <v>4825</v>
      </c>
      <c r="C1511" s="199" t="s">
        <v>34</v>
      </c>
      <c r="D1511" s="199" t="s">
        <v>35</v>
      </c>
      <c r="E1511" s="199">
        <v>20</v>
      </c>
      <c r="F1511" s="199" t="s">
        <v>8</v>
      </c>
      <c r="G1511" s="199" t="s">
        <v>4755</v>
      </c>
      <c r="H1511" s="200">
        <v>474.6</v>
      </c>
      <c r="I1511" s="199" t="s">
        <v>20</v>
      </c>
      <c r="J1511" s="199" t="s">
        <v>415</v>
      </c>
      <c r="K1511" s="201">
        <v>45414</v>
      </c>
      <c r="L1511" s="199" t="s">
        <v>3319</v>
      </c>
      <c r="M1511" s="199" t="s">
        <v>3320</v>
      </c>
    </row>
    <row r="1512" spans="1:13" ht="85.5">
      <c r="A1512" s="199">
        <v>1511</v>
      </c>
      <c r="B1512" s="199" t="s">
        <v>4109</v>
      </c>
      <c r="C1512" s="199" t="s">
        <v>34</v>
      </c>
      <c r="D1512" s="199" t="s">
        <v>35</v>
      </c>
      <c r="E1512" s="199">
        <v>10</v>
      </c>
      <c r="F1512" s="199" t="s">
        <v>8</v>
      </c>
      <c r="G1512" s="199" t="s">
        <v>4755</v>
      </c>
      <c r="H1512" s="200">
        <v>464.8</v>
      </c>
      <c r="I1512" s="199" t="s">
        <v>20</v>
      </c>
      <c r="J1512" s="199" t="s">
        <v>415</v>
      </c>
      <c r="K1512" s="201">
        <v>45414</v>
      </c>
      <c r="L1512" s="199" t="s">
        <v>3319</v>
      </c>
      <c r="M1512" s="199" t="s">
        <v>3320</v>
      </c>
    </row>
    <row r="1513" spans="1:13" ht="85.5">
      <c r="A1513" s="199">
        <v>1512</v>
      </c>
      <c r="B1513" s="199" t="s">
        <v>4826</v>
      </c>
      <c r="C1513" s="199" t="s">
        <v>34</v>
      </c>
      <c r="D1513" s="199" t="s">
        <v>35</v>
      </c>
      <c r="E1513" s="199">
        <v>10</v>
      </c>
      <c r="F1513" s="199" t="s">
        <v>8</v>
      </c>
      <c r="G1513" s="199" t="s">
        <v>4755</v>
      </c>
      <c r="H1513" s="200">
        <v>473.2</v>
      </c>
      <c r="I1513" s="199" t="s">
        <v>20</v>
      </c>
      <c r="J1513" s="199" t="s">
        <v>415</v>
      </c>
      <c r="K1513" s="201">
        <v>45414</v>
      </c>
      <c r="L1513" s="199" t="s">
        <v>3319</v>
      </c>
      <c r="M1513" s="199" t="s">
        <v>3320</v>
      </c>
    </row>
    <row r="1514" spans="1:13" ht="85.5">
      <c r="A1514" s="199">
        <v>1513</v>
      </c>
      <c r="B1514" s="199" t="s">
        <v>4827</v>
      </c>
      <c r="C1514" s="199" t="s">
        <v>34</v>
      </c>
      <c r="D1514" s="199" t="s">
        <v>35</v>
      </c>
      <c r="E1514" s="199">
        <v>150</v>
      </c>
      <c r="F1514" s="199" t="s">
        <v>2378</v>
      </c>
      <c r="G1514" s="199" t="s">
        <v>4755</v>
      </c>
      <c r="H1514" s="200">
        <v>23917.5</v>
      </c>
      <c r="I1514" s="199" t="s">
        <v>20</v>
      </c>
      <c r="J1514" s="199" t="s">
        <v>415</v>
      </c>
      <c r="K1514" s="201">
        <v>45414</v>
      </c>
      <c r="L1514" s="199" t="s">
        <v>3319</v>
      </c>
      <c r="M1514" s="199" t="s">
        <v>3320</v>
      </c>
    </row>
    <row r="1515" spans="1:13" ht="171">
      <c r="A1515" s="199">
        <v>1514</v>
      </c>
      <c r="B1515" s="199" t="s">
        <v>4828</v>
      </c>
      <c r="C1515" s="199" t="s">
        <v>34</v>
      </c>
      <c r="D1515" s="199" t="s">
        <v>35</v>
      </c>
      <c r="E1515" s="199">
        <v>50</v>
      </c>
      <c r="F1515" s="199" t="s">
        <v>591</v>
      </c>
      <c r="G1515" s="199" t="s">
        <v>4755</v>
      </c>
      <c r="H1515" s="200">
        <v>1774.5</v>
      </c>
      <c r="I1515" s="199" t="s">
        <v>20</v>
      </c>
      <c r="J1515" s="199" t="s">
        <v>415</v>
      </c>
      <c r="K1515" s="201">
        <v>45414</v>
      </c>
      <c r="L1515" s="199" t="s">
        <v>3319</v>
      </c>
      <c r="M1515" s="199" t="s">
        <v>3320</v>
      </c>
    </row>
    <row r="1516" spans="1:13" ht="85.5">
      <c r="A1516" s="199">
        <v>1515</v>
      </c>
      <c r="B1516" s="199" t="s">
        <v>4488</v>
      </c>
      <c r="C1516" s="199" t="s">
        <v>34</v>
      </c>
      <c r="D1516" s="199" t="s">
        <v>35</v>
      </c>
      <c r="E1516" s="199">
        <v>10</v>
      </c>
      <c r="F1516" s="199" t="s">
        <v>8</v>
      </c>
      <c r="G1516" s="199" t="s">
        <v>4755</v>
      </c>
      <c r="H1516" s="200">
        <v>118.7</v>
      </c>
      <c r="I1516" s="199" t="s">
        <v>20</v>
      </c>
      <c r="J1516" s="199" t="s">
        <v>415</v>
      </c>
      <c r="K1516" s="201">
        <v>45414</v>
      </c>
      <c r="L1516" s="199" t="s">
        <v>3319</v>
      </c>
      <c r="M1516" s="199" t="s">
        <v>3320</v>
      </c>
    </row>
    <row r="1517" spans="1:13" ht="185.25">
      <c r="A1517" s="199">
        <v>1516</v>
      </c>
      <c r="B1517" s="199" t="s">
        <v>4829</v>
      </c>
      <c r="C1517" s="199" t="s">
        <v>34</v>
      </c>
      <c r="D1517" s="199" t="s">
        <v>35</v>
      </c>
      <c r="E1517" s="199">
        <v>100</v>
      </c>
      <c r="F1517" s="199" t="s">
        <v>679</v>
      </c>
      <c r="G1517" s="199" t="s">
        <v>4755</v>
      </c>
      <c r="H1517" s="200">
        <v>1487</v>
      </c>
      <c r="I1517" s="199" t="s">
        <v>20</v>
      </c>
      <c r="J1517" s="199" t="s">
        <v>415</v>
      </c>
      <c r="K1517" s="201">
        <v>45414</v>
      </c>
      <c r="L1517" s="199" t="s">
        <v>3319</v>
      </c>
      <c r="M1517" s="199" t="s">
        <v>3320</v>
      </c>
    </row>
    <row r="1518" spans="1:13" ht="185.25">
      <c r="A1518" s="199">
        <v>1517</v>
      </c>
      <c r="B1518" s="199" t="s">
        <v>4830</v>
      </c>
      <c r="C1518" s="199" t="s">
        <v>34</v>
      </c>
      <c r="D1518" s="199" t="s">
        <v>35</v>
      </c>
      <c r="E1518" s="199">
        <v>100</v>
      </c>
      <c r="F1518" s="199" t="s">
        <v>679</v>
      </c>
      <c r="G1518" s="199" t="s">
        <v>4755</v>
      </c>
      <c r="H1518" s="200">
        <v>1514</v>
      </c>
      <c r="I1518" s="199" t="s">
        <v>20</v>
      </c>
      <c r="J1518" s="199" t="s">
        <v>415</v>
      </c>
      <c r="K1518" s="201">
        <v>45414</v>
      </c>
      <c r="L1518" s="199" t="s">
        <v>3319</v>
      </c>
      <c r="M1518" s="199" t="s">
        <v>3320</v>
      </c>
    </row>
    <row r="1519" spans="1:13" ht="85.5">
      <c r="A1519" s="199">
        <v>1518</v>
      </c>
      <c r="B1519" s="199" t="s">
        <v>4831</v>
      </c>
      <c r="C1519" s="199" t="s">
        <v>34</v>
      </c>
      <c r="D1519" s="199" t="s">
        <v>35</v>
      </c>
      <c r="E1519" s="199">
        <v>500</v>
      </c>
      <c r="F1519" s="199" t="s">
        <v>591</v>
      </c>
      <c r="G1519" s="199" t="s">
        <v>4755</v>
      </c>
      <c r="H1519" s="200">
        <v>59325</v>
      </c>
      <c r="I1519" s="199" t="s">
        <v>20</v>
      </c>
      <c r="J1519" s="199" t="s">
        <v>415</v>
      </c>
      <c r="K1519" s="201">
        <v>45414</v>
      </c>
      <c r="L1519" s="199" t="s">
        <v>3319</v>
      </c>
      <c r="M1519" s="199" t="s">
        <v>3320</v>
      </c>
    </row>
    <row r="1520" spans="1:13" ht="85.5">
      <c r="A1520" s="199">
        <v>1519</v>
      </c>
      <c r="B1520" s="199" t="s">
        <v>4832</v>
      </c>
      <c r="C1520" s="199" t="s">
        <v>34</v>
      </c>
      <c r="D1520" s="199" t="s">
        <v>35</v>
      </c>
      <c r="E1520" s="199">
        <v>10</v>
      </c>
      <c r="F1520" s="199" t="s">
        <v>8</v>
      </c>
      <c r="G1520" s="199" t="s">
        <v>4755</v>
      </c>
      <c r="H1520" s="200">
        <v>232.4</v>
      </c>
      <c r="I1520" s="199" t="s">
        <v>20</v>
      </c>
      <c r="J1520" s="199" t="s">
        <v>415</v>
      </c>
      <c r="K1520" s="201">
        <v>45414</v>
      </c>
      <c r="L1520" s="199" t="s">
        <v>3319</v>
      </c>
      <c r="M1520" s="199" t="s">
        <v>3320</v>
      </c>
    </row>
    <row r="1521" spans="1:13" ht="114">
      <c r="A1521" s="199">
        <v>1520</v>
      </c>
      <c r="B1521" s="199" t="s">
        <v>4833</v>
      </c>
      <c r="C1521" s="199" t="s">
        <v>34</v>
      </c>
      <c r="D1521" s="199" t="s">
        <v>35</v>
      </c>
      <c r="E1521" s="199">
        <v>50</v>
      </c>
      <c r="F1521" s="199" t="s">
        <v>8</v>
      </c>
      <c r="G1521" s="199" t="s">
        <v>4755</v>
      </c>
      <c r="H1521" s="200">
        <v>140</v>
      </c>
      <c r="I1521" s="199" t="s">
        <v>20</v>
      </c>
      <c r="J1521" s="199" t="s">
        <v>415</v>
      </c>
      <c r="K1521" s="201">
        <v>45414</v>
      </c>
      <c r="L1521" s="199" t="s">
        <v>3319</v>
      </c>
      <c r="M1521" s="199" t="s">
        <v>3320</v>
      </c>
    </row>
    <row r="1522" spans="1:13" ht="114">
      <c r="A1522" s="199">
        <v>1521</v>
      </c>
      <c r="B1522" s="199" t="s">
        <v>4834</v>
      </c>
      <c r="C1522" s="199" t="s">
        <v>34</v>
      </c>
      <c r="D1522" s="199" t="s">
        <v>35</v>
      </c>
      <c r="E1522" s="199">
        <v>100</v>
      </c>
      <c r="F1522" s="199" t="s">
        <v>8</v>
      </c>
      <c r="G1522" s="199" t="s">
        <v>4755</v>
      </c>
      <c r="H1522" s="200">
        <v>239</v>
      </c>
      <c r="I1522" s="199" t="s">
        <v>20</v>
      </c>
      <c r="J1522" s="199" t="s">
        <v>415</v>
      </c>
      <c r="K1522" s="201">
        <v>45414</v>
      </c>
      <c r="L1522" s="199" t="s">
        <v>3319</v>
      </c>
      <c r="M1522" s="199" t="s">
        <v>3320</v>
      </c>
    </row>
    <row r="1523" spans="1:13" ht="85.5">
      <c r="A1523" s="199">
        <v>1522</v>
      </c>
      <c r="B1523" s="199" t="s">
        <v>4835</v>
      </c>
      <c r="C1523" s="199" t="s">
        <v>34</v>
      </c>
      <c r="D1523" s="199" t="s">
        <v>35</v>
      </c>
      <c r="E1523" s="199">
        <v>250</v>
      </c>
      <c r="F1523" s="199" t="s">
        <v>4836</v>
      </c>
      <c r="G1523" s="199" t="s">
        <v>4755</v>
      </c>
      <c r="H1523" s="200">
        <v>6997.5</v>
      </c>
      <c r="I1523" s="199" t="s">
        <v>20</v>
      </c>
      <c r="J1523" s="199" t="s">
        <v>415</v>
      </c>
      <c r="K1523" s="201">
        <v>45414</v>
      </c>
      <c r="L1523" s="199" t="s">
        <v>3319</v>
      </c>
      <c r="M1523" s="199" t="s">
        <v>3320</v>
      </c>
    </row>
    <row r="1524" spans="1:13" ht="99.75">
      <c r="A1524" s="199">
        <v>1523</v>
      </c>
      <c r="B1524" s="199" t="s">
        <v>4837</v>
      </c>
      <c r="C1524" s="199" t="s">
        <v>34</v>
      </c>
      <c r="D1524" s="199" t="s">
        <v>35</v>
      </c>
      <c r="E1524" s="199">
        <v>200</v>
      </c>
      <c r="F1524" s="199" t="s">
        <v>8</v>
      </c>
      <c r="G1524" s="199" t="s">
        <v>4755</v>
      </c>
      <c r="H1524" s="200">
        <v>876</v>
      </c>
      <c r="I1524" s="199" t="s">
        <v>20</v>
      </c>
      <c r="J1524" s="199" t="s">
        <v>415</v>
      </c>
      <c r="K1524" s="201">
        <v>45414</v>
      </c>
      <c r="L1524" s="199" t="s">
        <v>3319</v>
      </c>
      <c r="M1524" s="199" t="s">
        <v>3320</v>
      </c>
    </row>
    <row r="1525" spans="1:13" ht="114">
      <c r="A1525" s="199">
        <v>1524</v>
      </c>
      <c r="B1525" s="199" t="s">
        <v>4838</v>
      </c>
      <c r="C1525" s="199" t="s">
        <v>34</v>
      </c>
      <c r="D1525" s="199" t="s">
        <v>35</v>
      </c>
      <c r="E1525" s="199">
        <v>100</v>
      </c>
      <c r="F1525" s="199" t="s">
        <v>8</v>
      </c>
      <c r="G1525" s="199" t="s">
        <v>4755</v>
      </c>
      <c r="H1525" s="200">
        <v>440</v>
      </c>
      <c r="I1525" s="199" t="s">
        <v>20</v>
      </c>
      <c r="J1525" s="199" t="s">
        <v>415</v>
      </c>
      <c r="K1525" s="201">
        <v>45414</v>
      </c>
      <c r="L1525" s="199" t="s">
        <v>3319</v>
      </c>
      <c r="M1525" s="199" t="s">
        <v>3320</v>
      </c>
    </row>
    <row r="1526" spans="1:13" ht="114">
      <c r="A1526" s="199">
        <v>1525</v>
      </c>
      <c r="B1526" s="199" t="s">
        <v>4839</v>
      </c>
      <c r="C1526" s="199" t="s">
        <v>34</v>
      </c>
      <c r="D1526" s="199" t="s">
        <v>35</v>
      </c>
      <c r="E1526" s="199">
        <v>150</v>
      </c>
      <c r="F1526" s="199" t="s">
        <v>8</v>
      </c>
      <c r="G1526" s="199" t="s">
        <v>4755</v>
      </c>
      <c r="H1526" s="200">
        <v>646.5</v>
      </c>
      <c r="I1526" s="199" t="s">
        <v>20</v>
      </c>
      <c r="J1526" s="199" t="s">
        <v>415</v>
      </c>
      <c r="K1526" s="201">
        <v>45414</v>
      </c>
      <c r="L1526" s="199" t="s">
        <v>3319</v>
      </c>
      <c r="M1526" s="199" t="s">
        <v>3320</v>
      </c>
    </row>
    <row r="1527" spans="1:13" ht="99.75">
      <c r="A1527" s="199">
        <v>1526</v>
      </c>
      <c r="B1527" s="199" t="s">
        <v>4840</v>
      </c>
      <c r="C1527" s="199" t="s">
        <v>34</v>
      </c>
      <c r="D1527" s="199" t="s">
        <v>35</v>
      </c>
      <c r="E1527" s="199">
        <v>100</v>
      </c>
      <c r="F1527" s="199" t="s">
        <v>8</v>
      </c>
      <c r="G1527" s="199" t="s">
        <v>4755</v>
      </c>
      <c r="H1527" s="200">
        <v>438</v>
      </c>
      <c r="I1527" s="199" t="s">
        <v>20</v>
      </c>
      <c r="J1527" s="199" t="s">
        <v>415</v>
      </c>
      <c r="K1527" s="201">
        <v>45414</v>
      </c>
      <c r="L1527" s="199" t="s">
        <v>3319</v>
      </c>
      <c r="M1527" s="199" t="s">
        <v>3320</v>
      </c>
    </row>
    <row r="1528" spans="1:13" ht="99.75">
      <c r="A1528" s="199">
        <v>1527</v>
      </c>
      <c r="B1528" s="199" t="s">
        <v>4841</v>
      </c>
      <c r="C1528" s="199" t="s">
        <v>34</v>
      </c>
      <c r="D1528" s="199" t="s">
        <v>35</v>
      </c>
      <c r="E1528" s="199">
        <v>150</v>
      </c>
      <c r="F1528" s="199" t="s">
        <v>8</v>
      </c>
      <c r="G1528" s="199" t="s">
        <v>4755</v>
      </c>
      <c r="H1528" s="200">
        <v>660</v>
      </c>
      <c r="I1528" s="199" t="s">
        <v>20</v>
      </c>
      <c r="J1528" s="199" t="s">
        <v>415</v>
      </c>
      <c r="K1528" s="201">
        <v>45414</v>
      </c>
      <c r="L1528" s="199" t="s">
        <v>3319</v>
      </c>
      <c r="M1528" s="199" t="s">
        <v>3320</v>
      </c>
    </row>
    <row r="1529" spans="1:13" ht="85.5">
      <c r="A1529" s="199">
        <v>1528</v>
      </c>
      <c r="B1529" s="199" t="s">
        <v>4842</v>
      </c>
      <c r="C1529" s="199" t="s">
        <v>34</v>
      </c>
      <c r="D1529" s="199" t="s">
        <v>35</v>
      </c>
      <c r="E1529" s="199">
        <v>100</v>
      </c>
      <c r="F1529" s="199" t="s">
        <v>8</v>
      </c>
      <c r="G1529" s="199" t="s">
        <v>4755</v>
      </c>
      <c r="H1529" s="200">
        <v>431</v>
      </c>
      <c r="I1529" s="199" t="s">
        <v>20</v>
      </c>
      <c r="J1529" s="199" t="s">
        <v>415</v>
      </c>
      <c r="K1529" s="201">
        <v>45414</v>
      </c>
      <c r="L1529" s="199" t="s">
        <v>3319</v>
      </c>
      <c r="M1529" s="199" t="s">
        <v>3320</v>
      </c>
    </row>
    <row r="1530" spans="1:13" ht="99.75">
      <c r="A1530" s="199">
        <v>1529</v>
      </c>
      <c r="B1530" s="199" t="s">
        <v>4843</v>
      </c>
      <c r="C1530" s="199" t="s">
        <v>34</v>
      </c>
      <c r="D1530" s="199" t="s">
        <v>35</v>
      </c>
      <c r="E1530" s="199">
        <v>150</v>
      </c>
      <c r="F1530" s="199" t="s">
        <v>8</v>
      </c>
      <c r="G1530" s="199" t="s">
        <v>4755</v>
      </c>
      <c r="H1530" s="200">
        <v>799.5</v>
      </c>
      <c r="I1530" s="199" t="s">
        <v>20</v>
      </c>
      <c r="J1530" s="199" t="s">
        <v>415</v>
      </c>
      <c r="K1530" s="201">
        <v>45414</v>
      </c>
      <c r="L1530" s="199" t="s">
        <v>3319</v>
      </c>
      <c r="M1530" s="199" t="s">
        <v>3320</v>
      </c>
    </row>
    <row r="1531" spans="1:13" ht="99.75">
      <c r="A1531" s="199">
        <v>1530</v>
      </c>
      <c r="B1531" s="199" t="s">
        <v>4844</v>
      </c>
      <c r="C1531" s="199" t="s">
        <v>34</v>
      </c>
      <c r="D1531" s="199" t="s">
        <v>35</v>
      </c>
      <c r="E1531" s="199">
        <v>100</v>
      </c>
      <c r="F1531" s="199" t="s">
        <v>8</v>
      </c>
      <c r="G1531" s="199" t="s">
        <v>4755</v>
      </c>
      <c r="H1531" s="200">
        <v>535</v>
      </c>
      <c r="I1531" s="199" t="s">
        <v>20</v>
      </c>
      <c r="J1531" s="199" t="s">
        <v>415</v>
      </c>
      <c r="K1531" s="201">
        <v>45414</v>
      </c>
      <c r="L1531" s="199" t="s">
        <v>3319</v>
      </c>
      <c r="M1531" s="199" t="s">
        <v>3320</v>
      </c>
    </row>
    <row r="1532" spans="1:13" ht="99.75">
      <c r="A1532" s="199">
        <v>1531</v>
      </c>
      <c r="B1532" s="199" t="s">
        <v>4845</v>
      </c>
      <c r="C1532" s="199" t="s">
        <v>34</v>
      </c>
      <c r="D1532" s="199" t="s">
        <v>35</v>
      </c>
      <c r="E1532" s="199">
        <v>150</v>
      </c>
      <c r="F1532" s="199" t="s">
        <v>8</v>
      </c>
      <c r="G1532" s="199" t="s">
        <v>4755</v>
      </c>
      <c r="H1532" s="200">
        <v>786</v>
      </c>
      <c r="I1532" s="199" t="s">
        <v>20</v>
      </c>
      <c r="J1532" s="199" t="s">
        <v>415</v>
      </c>
      <c r="K1532" s="201">
        <v>45414</v>
      </c>
      <c r="L1532" s="199" t="s">
        <v>3319</v>
      </c>
      <c r="M1532" s="199" t="s">
        <v>3320</v>
      </c>
    </row>
    <row r="1533" spans="1:13" ht="85.5">
      <c r="A1533" s="199">
        <v>1532</v>
      </c>
      <c r="B1533" s="199" t="s">
        <v>4846</v>
      </c>
      <c r="C1533" s="199" t="s">
        <v>34</v>
      </c>
      <c r="D1533" s="199" t="s">
        <v>35</v>
      </c>
      <c r="E1533" s="199">
        <v>100</v>
      </c>
      <c r="F1533" s="199" t="s">
        <v>8</v>
      </c>
      <c r="G1533" s="199" t="s">
        <v>4755</v>
      </c>
      <c r="H1533" s="200">
        <v>533</v>
      </c>
      <c r="I1533" s="199" t="s">
        <v>20</v>
      </c>
      <c r="J1533" s="199" t="s">
        <v>415</v>
      </c>
      <c r="K1533" s="201">
        <v>45414</v>
      </c>
      <c r="L1533" s="199" t="s">
        <v>3319</v>
      </c>
      <c r="M1533" s="199" t="s">
        <v>3320</v>
      </c>
    </row>
    <row r="1534" spans="1:13" ht="99.75">
      <c r="A1534" s="199">
        <v>1533</v>
      </c>
      <c r="B1534" s="199" t="s">
        <v>4847</v>
      </c>
      <c r="C1534" s="199" t="s">
        <v>34</v>
      </c>
      <c r="D1534" s="199" t="s">
        <v>35</v>
      </c>
      <c r="E1534" s="199">
        <v>150</v>
      </c>
      <c r="F1534" s="199" t="s">
        <v>8</v>
      </c>
      <c r="G1534" s="199" t="s">
        <v>4755</v>
      </c>
      <c r="H1534" s="200">
        <v>802.5</v>
      </c>
      <c r="I1534" s="199" t="s">
        <v>20</v>
      </c>
      <c r="J1534" s="199" t="s">
        <v>415</v>
      </c>
      <c r="K1534" s="201">
        <v>45414</v>
      </c>
      <c r="L1534" s="199" t="s">
        <v>3319</v>
      </c>
      <c r="M1534" s="199" t="s">
        <v>3320</v>
      </c>
    </row>
    <row r="1535" spans="1:13" ht="99.75">
      <c r="A1535" s="199">
        <v>1534</v>
      </c>
      <c r="B1535" s="199" t="s">
        <v>4848</v>
      </c>
      <c r="C1535" s="199" t="s">
        <v>34</v>
      </c>
      <c r="D1535" s="199" t="s">
        <v>35</v>
      </c>
      <c r="E1535" s="199">
        <v>100</v>
      </c>
      <c r="F1535" s="199" t="s">
        <v>8</v>
      </c>
      <c r="G1535" s="199" t="s">
        <v>4755</v>
      </c>
      <c r="H1535" s="200">
        <v>524</v>
      </c>
      <c r="I1535" s="199" t="s">
        <v>20</v>
      </c>
      <c r="J1535" s="199" t="s">
        <v>415</v>
      </c>
      <c r="K1535" s="201">
        <v>45414</v>
      </c>
      <c r="L1535" s="199" t="s">
        <v>3319</v>
      </c>
      <c r="M1535" s="199" t="s">
        <v>3320</v>
      </c>
    </row>
    <row r="1536" spans="1:13" ht="85.5">
      <c r="A1536" s="199">
        <v>1535</v>
      </c>
      <c r="B1536" s="199" t="s">
        <v>4849</v>
      </c>
      <c r="C1536" s="199" t="s">
        <v>34</v>
      </c>
      <c r="D1536" s="199" t="s">
        <v>35</v>
      </c>
      <c r="E1536" s="199">
        <v>150</v>
      </c>
      <c r="F1536" s="199" t="s">
        <v>8</v>
      </c>
      <c r="G1536" s="199" t="s">
        <v>4755</v>
      </c>
      <c r="H1536" s="200">
        <v>799.5</v>
      </c>
      <c r="I1536" s="199" t="s">
        <v>20</v>
      </c>
      <c r="J1536" s="199" t="s">
        <v>415</v>
      </c>
      <c r="K1536" s="201">
        <v>45414</v>
      </c>
      <c r="L1536" s="199" t="s">
        <v>3319</v>
      </c>
      <c r="M1536" s="199" t="s">
        <v>3320</v>
      </c>
    </row>
    <row r="1537" spans="1:13" ht="114">
      <c r="A1537" s="199">
        <v>1536</v>
      </c>
      <c r="B1537" s="199" t="s">
        <v>4850</v>
      </c>
      <c r="C1537" s="199" t="s">
        <v>34</v>
      </c>
      <c r="D1537" s="199" t="s">
        <v>35</v>
      </c>
      <c r="E1537" s="199">
        <v>100</v>
      </c>
      <c r="F1537" s="199" t="s">
        <v>8</v>
      </c>
      <c r="G1537" s="199" t="s">
        <v>4755</v>
      </c>
      <c r="H1537" s="200">
        <v>535</v>
      </c>
      <c r="I1537" s="199" t="s">
        <v>20</v>
      </c>
      <c r="J1537" s="199" t="s">
        <v>415</v>
      </c>
      <c r="K1537" s="201">
        <v>45414</v>
      </c>
      <c r="L1537" s="199" t="s">
        <v>3319</v>
      </c>
      <c r="M1537" s="199" t="s">
        <v>3320</v>
      </c>
    </row>
    <row r="1538" spans="1:13" ht="85.5">
      <c r="A1538" s="199">
        <v>1537</v>
      </c>
      <c r="B1538" s="199" t="s">
        <v>4851</v>
      </c>
      <c r="C1538" s="199" t="s">
        <v>34</v>
      </c>
      <c r="D1538" s="199" t="s">
        <v>35</v>
      </c>
      <c r="E1538" s="199">
        <v>150</v>
      </c>
      <c r="F1538" s="199" t="s">
        <v>8</v>
      </c>
      <c r="G1538" s="199" t="s">
        <v>4755</v>
      </c>
      <c r="H1538" s="200">
        <v>786</v>
      </c>
      <c r="I1538" s="199" t="s">
        <v>20</v>
      </c>
      <c r="J1538" s="199" t="s">
        <v>415</v>
      </c>
      <c r="K1538" s="201">
        <v>45414</v>
      </c>
      <c r="L1538" s="199" t="s">
        <v>3319</v>
      </c>
      <c r="M1538" s="199" t="s">
        <v>3320</v>
      </c>
    </row>
    <row r="1539" spans="1:13" ht="85.5">
      <c r="A1539" s="199">
        <v>1538</v>
      </c>
      <c r="B1539" s="199" t="s">
        <v>4852</v>
      </c>
      <c r="C1539" s="199" t="s">
        <v>34</v>
      </c>
      <c r="D1539" s="199" t="s">
        <v>35</v>
      </c>
      <c r="E1539" s="199">
        <v>100</v>
      </c>
      <c r="F1539" s="199" t="s">
        <v>8</v>
      </c>
      <c r="G1539" s="199" t="s">
        <v>4755</v>
      </c>
      <c r="H1539" s="200">
        <v>533</v>
      </c>
      <c r="I1539" s="199" t="s">
        <v>20</v>
      </c>
      <c r="J1539" s="199" t="s">
        <v>415</v>
      </c>
      <c r="K1539" s="201">
        <v>45414</v>
      </c>
      <c r="L1539" s="199" t="s">
        <v>3319</v>
      </c>
      <c r="M1539" s="199" t="s">
        <v>3320</v>
      </c>
    </row>
    <row r="1540" spans="1:13" ht="85.5">
      <c r="A1540" s="199">
        <v>1539</v>
      </c>
      <c r="B1540" s="199" t="s">
        <v>4853</v>
      </c>
      <c r="C1540" s="199" t="s">
        <v>34</v>
      </c>
      <c r="D1540" s="199" t="s">
        <v>35</v>
      </c>
      <c r="E1540" s="199">
        <v>100</v>
      </c>
      <c r="F1540" s="199" t="s">
        <v>8</v>
      </c>
      <c r="G1540" s="199" t="s">
        <v>4755</v>
      </c>
      <c r="H1540" s="200">
        <v>535</v>
      </c>
      <c r="I1540" s="199" t="s">
        <v>20</v>
      </c>
      <c r="J1540" s="199" t="s">
        <v>415</v>
      </c>
      <c r="K1540" s="201">
        <v>45414</v>
      </c>
      <c r="L1540" s="199" t="s">
        <v>3319</v>
      </c>
      <c r="M1540" s="199" t="s">
        <v>3320</v>
      </c>
    </row>
    <row r="1541" spans="1:13" ht="99.75">
      <c r="A1541" s="199">
        <v>1540</v>
      </c>
      <c r="B1541" s="199" t="s">
        <v>4854</v>
      </c>
      <c r="C1541" s="199" t="s">
        <v>34</v>
      </c>
      <c r="D1541" s="199" t="s">
        <v>35</v>
      </c>
      <c r="E1541" s="199">
        <v>100</v>
      </c>
      <c r="F1541" s="199" t="s">
        <v>8</v>
      </c>
      <c r="G1541" s="199" t="s">
        <v>4755</v>
      </c>
      <c r="H1541" s="200">
        <v>524</v>
      </c>
      <c r="I1541" s="199" t="s">
        <v>20</v>
      </c>
      <c r="J1541" s="199" t="s">
        <v>415</v>
      </c>
      <c r="K1541" s="201">
        <v>45414</v>
      </c>
      <c r="L1541" s="199" t="s">
        <v>3319</v>
      </c>
      <c r="M1541" s="199" t="s">
        <v>3320</v>
      </c>
    </row>
    <row r="1542" spans="1:13" ht="85.5">
      <c r="A1542" s="199">
        <v>1541</v>
      </c>
      <c r="B1542" s="199" t="s">
        <v>4855</v>
      </c>
      <c r="C1542" s="199" t="s">
        <v>34</v>
      </c>
      <c r="D1542" s="199" t="s">
        <v>35</v>
      </c>
      <c r="E1542" s="199">
        <v>100</v>
      </c>
      <c r="F1542" s="199" t="s">
        <v>8</v>
      </c>
      <c r="G1542" s="199" t="s">
        <v>4755</v>
      </c>
      <c r="H1542" s="200">
        <v>533</v>
      </c>
      <c r="I1542" s="199" t="s">
        <v>20</v>
      </c>
      <c r="J1542" s="199" t="s">
        <v>415</v>
      </c>
      <c r="K1542" s="201">
        <v>45414</v>
      </c>
      <c r="L1542" s="199" t="s">
        <v>3319</v>
      </c>
      <c r="M1542" s="199" t="s">
        <v>3320</v>
      </c>
    </row>
    <row r="1543" spans="1:13" ht="99.75">
      <c r="A1543" s="199">
        <v>1542</v>
      </c>
      <c r="B1543" s="199" t="s">
        <v>4856</v>
      </c>
      <c r="C1543" s="199" t="s">
        <v>34</v>
      </c>
      <c r="D1543" s="199" t="s">
        <v>35</v>
      </c>
      <c r="E1543" s="199">
        <v>100</v>
      </c>
      <c r="F1543" s="199" t="s">
        <v>8</v>
      </c>
      <c r="G1543" s="199" t="s">
        <v>4755</v>
      </c>
      <c r="H1543" s="200">
        <v>535</v>
      </c>
      <c r="I1543" s="199" t="s">
        <v>20</v>
      </c>
      <c r="J1543" s="199" t="s">
        <v>415</v>
      </c>
      <c r="K1543" s="201">
        <v>45414</v>
      </c>
      <c r="L1543" s="199" t="s">
        <v>3319</v>
      </c>
      <c r="M1543" s="199" t="s">
        <v>3320</v>
      </c>
    </row>
    <row r="1544" spans="1:13" ht="85.5">
      <c r="A1544" s="199">
        <v>1543</v>
      </c>
      <c r="B1544" s="199" t="s">
        <v>4857</v>
      </c>
      <c r="C1544" s="199" t="s">
        <v>34</v>
      </c>
      <c r="D1544" s="199" t="s">
        <v>35</v>
      </c>
      <c r="E1544" s="199">
        <v>100</v>
      </c>
      <c r="F1544" s="199" t="s">
        <v>8</v>
      </c>
      <c r="G1544" s="199" t="s">
        <v>4755</v>
      </c>
      <c r="H1544" s="200">
        <v>524</v>
      </c>
      <c r="I1544" s="199" t="s">
        <v>20</v>
      </c>
      <c r="J1544" s="199" t="s">
        <v>415</v>
      </c>
      <c r="K1544" s="201">
        <v>45414</v>
      </c>
      <c r="L1544" s="199" t="s">
        <v>3319</v>
      </c>
      <c r="M1544" s="199" t="s">
        <v>3320</v>
      </c>
    </row>
    <row r="1545" spans="1:13" ht="85.5">
      <c r="A1545" s="199">
        <v>1544</v>
      </c>
      <c r="B1545" s="199" t="s">
        <v>4858</v>
      </c>
      <c r="C1545" s="199" t="s">
        <v>34</v>
      </c>
      <c r="D1545" s="199" t="s">
        <v>35</v>
      </c>
      <c r="E1545" s="199">
        <v>100</v>
      </c>
      <c r="F1545" s="199" t="s">
        <v>8</v>
      </c>
      <c r="G1545" s="199" t="s">
        <v>4755</v>
      </c>
      <c r="H1545" s="200">
        <v>533</v>
      </c>
      <c r="I1545" s="199" t="s">
        <v>20</v>
      </c>
      <c r="J1545" s="199" t="s">
        <v>415</v>
      </c>
      <c r="K1545" s="201">
        <v>45414</v>
      </c>
      <c r="L1545" s="199" t="s">
        <v>3319</v>
      </c>
      <c r="M1545" s="199" t="s">
        <v>3320</v>
      </c>
    </row>
    <row r="1546" spans="1:13" ht="85.5">
      <c r="A1546" s="199">
        <v>1545</v>
      </c>
      <c r="B1546" s="199" t="s">
        <v>4859</v>
      </c>
      <c r="C1546" s="199" t="s">
        <v>34</v>
      </c>
      <c r="D1546" s="199" t="s">
        <v>35</v>
      </c>
      <c r="E1546" s="199">
        <v>100</v>
      </c>
      <c r="F1546" s="199" t="s">
        <v>8</v>
      </c>
      <c r="G1546" s="199" t="s">
        <v>4755</v>
      </c>
      <c r="H1546" s="200">
        <v>535</v>
      </c>
      <c r="I1546" s="199" t="s">
        <v>20</v>
      </c>
      <c r="J1546" s="199" t="s">
        <v>415</v>
      </c>
      <c r="K1546" s="201">
        <v>45414</v>
      </c>
      <c r="L1546" s="199" t="s">
        <v>3319</v>
      </c>
      <c r="M1546" s="199" t="s">
        <v>3320</v>
      </c>
    </row>
    <row r="1547" spans="1:13" ht="85.5">
      <c r="A1547" s="199">
        <v>1546</v>
      </c>
      <c r="B1547" s="199" t="s">
        <v>4860</v>
      </c>
      <c r="C1547" s="199" t="s">
        <v>34</v>
      </c>
      <c r="D1547" s="199" t="s">
        <v>35</v>
      </c>
      <c r="E1547" s="199">
        <v>100</v>
      </c>
      <c r="F1547" s="199" t="s">
        <v>8</v>
      </c>
      <c r="G1547" s="199" t="s">
        <v>4755</v>
      </c>
      <c r="H1547" s="200">
        <v>524</v>
      </c>
      <c r="I1547" s="199" t="s">
        <v>20</v>
      </c>
      <c r="J1547" s="199" t="s">
        <v>415</v>
      </c>
      <c r="K1547" s="201">
        <v>45414</v>
      </c>
      <c r="L1547" s="199" t="s">
        <v>3319</v>
      </c>
      <c r="M1547" s="199" t="s">
        <v>3320</v>
      </c>
    </row>
    <row r="1548" spans="1:13" ht="85.5">
      <c r="A1548" s="199">
        <v>1547</v>
      </c>
      <c r="B1548" s="199" t="s">
        <v>4861</v>
      </c>
      <c r="C1548" s="199" t="s">
        <v>34</v>
      </c>
      <c r="D1548" s="199" t="s">
        <v>35</v>
      </c>
      <c r="E1548" s="199">
        <v>150</v>
      </c>
      <c r="F1548" s="199" t="s">
        <v>8</v>
      </c>
      <c r="G1548" s="199" t="s">
        <v>4755</v>
      </c>
      <c r="H1548" s="200">
        <v>799.5</v>
      </c>
      <c r="I1548" s="199" t="s">
        <v>20</v>
      </c>
      <c r="J1548" s="199" t="s">
        <v>415</v>
      </c>
      <c r="K1548" s="201">
        <v>45414</v>
      </c>
      <c r="L1548" s="199" t="s">
        <v>3319</v>
      </c>
      <c r="M1548" s="199" t="s">
        <v>3320</v>
      </c>
    </row>
    <row r="1549" spans="1:13" ht="85.5">
      <c r="A1549" s="199">
        <v>1548</v>
      </c>
      <c r="B1549" s="199" t="s">
        <v>4862</v>
      </c>
      <c r="C1549" s="199" t="s">
        <v>34</v>
      </c>
      <c r="D1549" s="199" t="s">
        <v>35</v>
      </c>
      <c r="E1549" s="199">
        <v>150</v>
      </c>
      <c r="F1549" s="199" t="s">
        <v>8</v>
      </c>
      <c r="G1549" s="199" t="s">
        <v>4755</v>
      </c>
      <c r="H1549" s="200">
        <v>802.5</v>
      </c>
      <c r="I1549" s="199" t="s">
        <v>20</v>
      </c>
      <c r="J1549" s="199" t="s">
        <v>415</v>
      </c>
      <c r="K1549" s="201">
        <v>45414</v>
      </c>
      <c r="L1549" s="199" t="s">
        <v>3319</v>
      </c>
      <c r="M1549" s="199" t="s">
        <v>3320</v>
      </c>
    </row>
    <row r="1550" spans="1:13" ht="85.5">
      <c r="A1550" s="199">
        <v>1549</v>
      </c>
      <c r="B1550" s="199" t="s">
        <v>4863</v>
      </c>
      <c r="C1550" s="199" t="s">
        <v>34</v>
      </c>
      <c r="D1550" s="199" t="s">
        <v>35</v>
      </c>
      <c r="E1550" s="199">
        <v>150</v>
      </c>
      <c r="F1550" s="199" t="s">
        <v>8</v>
      </c>
      <c r="G1550" s="199" t="s">
        <v>4755</v>
      </c>
      <c r="H1550" s="200">
        <v>786</v>
      </c>
      <c r="I1550" s="199" t="s">
        <v>20</v>
      </c>
      <c r="J1550" s="199" t="s">
        <v>415</v>
      </c>
      <c r="K1550" s="201">
        <v>45414</v>
      </c>
      <c r="L1550" s="199" t="s">
        <v>3319</v>
      </c>
      <c r="M1550" s="199" t="s">
        <v>3320</v>
      </c>
    </row>
    <row r="1551" spans="1:13" ht="85.5">
      <c r="A1551" s="199">
        <v>1550</v>
      </c>
      <c r="B1551" s="199" t="s">
        <v>4864</v>
      </c>
      <c r="C1551" s="199" t="s">
        <v>34</v>
      </c>
      <c r="D1551" s="199" t="s">
        <v>35</v>
      </c>
      <c r="E1551" s="199">
        <v>150</v>
      </c>
      <c r="F1551" s="199" t="s">
        <v>8</v>
      </c>
      <c r="G1551" s="199" t="s">
        <v>4755</v>
      </c>
      <c r="H1551" s="200">
        <v>799.5</v>
      </c>
      <c r="I1551" s="199" t="s">
        <v>20</v>
      </c>
      <c r="J1551" s="199" t="s">
        <v>415</v>
      </c>
      <c r="K1551" s="201">
        <v>45414</v>
      </c>
      <c r="L1551" s="199" t="s">
        <v>3319</v>
      </c>
      <c r="M1551" s="199" t="s">
        <v>3320</v>
      </c>
    </row>
    <row r="1552" spans="1:13" ht="85.5">
      <c r="A1552" s="199">
        <v>1551</v>
      </c>
      <c r="B1552" s="199" t="s">
        <v>4865</v>
      </c>
      <c r="C1552" s="199" t="s">
        <v>34</v>
      </c>
      <c r="D1552" s="199" t="s">
        <v>35</v>
      </c>
      <c r="E1552" s="199">
        <v>150</v>
      </c>
      <c r="F1552" s="199" t="s">
        <v>8</v>
      </c>
      <c r="G1552" s="199" t="s">
        <v>4755</v>
      </c>
      <c r="H1552" s="200">
        <v>802.5</v>
      </c>
      <c r="I1552" s="199" t="s">
        <v>20</v>
      </c>
      <c r="J1552" s="199" t="s">
        <v>415</v>
      </c>
      <c r="K1552" s="201">
        <v>45414</v>
      </c>
      <c r="L1552" s="199" t="s">
        <v>3319</v>
      </c>
      <c r="M1552" s="199" t="s">
        <v>3320</v>
      </c>
    </row>
    <row r="1553" spans="1:13" ht="99.75">
      <c r="A1553" s="199">
        <v>1552</v>
      </c>
      <c r="B1553" s="199" t="s">
        <v>4866</v>
      </c>
      <c r="C1553" s="199" t="s">
        <v>34</v>
      </c>
      <c r="D1553" s="199" t="s">
        <v>35</v>
      </c>
      <c r="E1553" s="199">
        <v>100</v>
      </c>
      <c r="F1553" s="199" t="s">
        <v>8</v>
      </c>
      <c r="G1553" s="199" t="s">
        <v>4755</v>
      </c>
      <c r="H1553" s="200">
        <v>524</v>
      </c>
      <c r="I1553" s="199" t="s">
        <v>20</v>
      </c>
      <c r="J1553" s="199" t="s">
        <v>415</v>
      </c>
      <c r="K1553" s="201">
        <v>45414</v>
      </c>
      <c r="L1553" s="199" t="s">
        <v>3319</v>
      </c>
      <c r="M1553" s="199" t="s">
        <v>3320</v>
      </c>
    </row>
    <row r="1554" spans="1:13" ht="85.5">
      <c r="A1554" s="199">
        <v>1553</v>
      </c>
      <c r="B1554" s="199" t="s">
        <v>4867</v>
      </c>
      <c r="C1554" s="199" t="s">
        <v>34</v>
      </c>
      <c r="D1554" s="199" t="s">
        <v>35</v>
      </c>
      <c r="E1554" s="199">
        <v>100</v>
      </c>
      <c r="F1554" s="199" t="s">
        <v>8</v>
      </c>
      <c r="G1554" s="199" t="s">
        <v>4755</v>
      </c>
      <c r="H1554" s="200">
        <v>533</v>
      </c>
      <c r="I1554" s="199" t="s">
        <v>20</v>
      </c>
      <c r="J1554" s="199" t="s">
        <v>415</v>
      </c>
      <c r="K1554" s="201">
        <v>45414</v>
      </c>
      <c r="L1554" s="199" t="s">
        <v>3319</v>
      </c>
      <c r="M1554" s="199" t="s">
        <v>3320</v>
      </c>
    </row>
    <row r="1555" spans="1:13" ht="85.5">
      <c r="A1555" s="199">
        <v>1554</v>
      </c>
      <c r="B1555" s="199" t="s">
        <v>4868</v>
      </c>
      <c r="C1555" s="199" t="s">
        <v>34</v>
      </c>
      <c r="D1555" s="199" t="s">
        <v>35</v>
      </c>
      <c r="E1555" s="199">
        <v>100</v>
      </c>
      <c r="F1555" s="199" t="s">
        <v>8</v>
      </c>
      <c r="G1555" s="199" t="s">
        <v>4755</v>
      </c>
      <c r="H1555" s="200">
        <v>535</v>
      </c>
      <c r="I1555" s="199" t="s">
        <v>20</v>
      </c>
      <c r="J1555" s="199" t="s">
        <v>415</v>
      </c>
      <c r="K1555" s="201">
        <v>45414</v>
      </c>
      <c r="L1555" s="199" t="s">
        <v>3319</v>
      </c>
      <c r="M1555" s="199" t="s">
        <v>3320</v>
      </c>
    </row>
    <row r="1556" spans="1:13" ht="85.5">
      <c r="A1556" s="199">
        <v>1555</v>
      </c>
      <c r="B1556" s="199" t="s">
        <v>4869</v>
      </c>
      <c r="C1556" s="199" t="s">
        <v>34</v>
      </c>
      <c r="D1556" s="199" t="s">
        <v>35</v>
      </c>
      <c r="E1556" s="199">
        <v>100</v>
      </c>
      <c r="F1556" s="199" t="s">
        <v>8</v>
      </c>
      <c r="G1556" s="199" t="s">
        <v>4755</v>
      </c>
      <c r="H1556" s="200">
        <v>524</v>
      </c>
      <c r="I1556" s="199" t="s">
        <v>20</v>
      </c>
      <c r="J1556" s="199" t="s">
        <v>415</v>
      </c>
      <c r="K1556" s="201">
        <v>45414</v>
      </c>
      <c r="L1556" s="199" t="s">
        <v>3319</v>
      </c>
      <c r="M1556" s="199" t="s">
        <v>3320</v>
      </c>
    </row>
    <row r="1557" spans="1:13" ht="85.5">
      <c r="A1557" s="199">
        <v>1556</v>
      </c>
      <c r="B1557" s="199" t="s">
        <v>4870</v>
      </c>
      <c r="C1557" s="199" t="s">
        <v>34</v>
      </c>
      <c r="D1557" s="199" t="s">
        <v>35</v>
      </c>
      <c r="E1557" s="199">
        <v>100</v>
      </c>
      <c r="F1557" s="199" t="s">
        <v>8</v>
      </c>
      <c r="G1557" s="199" t="s">
        <v>4755</v>
      </c>
      <c r="H1557" s="200">
        <v>533</v>
      </c>
      <c r="I1557" s="199" t="s">
        <v>20</v>
      </c>
      <c r="J1557" s="199" t="s">
        <v>415</v>
      </c>
      <c r="K1557" s="201">
        <v>45414</v>
      </c>
      <c r="L1557" s="199" t="s">
        <v>3319</v>
      </c>
      <c r="M1557" s="199" t="s">
        <v>3320</v>
      </c>
    </row>
    <row r="1558" spans="1:13" ht="85.5">
      <c r="A1558" s="199">
        <v>1557</v>
      </c>
      <c r="B1558" s="199" t="s">
        <v>4871</v>
      </c>
      <c r="C1558" s="199" t="s">
        <v>34</v>
      </c>
      <c r="D1558" s="199" t="s">
        <v>35</v>
      </c>
      <c r="E1558" s="199">
        <v>100</v>
      </c>
      <c r="F1558" s="199" t="s">
        <v>8</v>
      </c>
      <c r="G1558" s="199" t="s">
        <v>4755</v>
      </c>
      <c r="H1558" s="200">
        <v>535</v>
      </c>
      <c r="I1558" s="199" t="s">
        <v>20</v>
      </c>
      <c r="J1558" s="199" t="s">
        <v>415</v>
      </c>
      <c r="K1558" s="201">
        <v>45414</v>
      </c>
      <c r="L1558" s="199" t="s">
        <v>3319</v>
      </c>
      <c r="M1558" s="199" t="s">
        <v>3320</v>
      </c>
    </row>
    <row r="1559" spans="1:13" ht="128.25">
      <c r="A1559" s="199">
        <v>1558</v>
      </c>
      <c r="B1559" s="199" t="s">
        <v>4872</v>
      </c>
      <c r="C1559" s="199" t="s">
        <v>34</v>
      </c>
      <c r="D1559" s="199" t="s">
        <v>35</v>
      </c>
      <c r="E1559" s="199">
        <v>100</v>
      </c>
      <c r="F1559" s="199" t="s">
        <v>8</v>
      </c>
      <c r="G1559" s="199" t="s">
        <v>4755</v>
      </c>
      <c r="H1559" s="200">
        <v>524</v>
      </c>
      <c r="I1559" s="199" t="s">
        <v>20</v>
      </c>
      <c r="J1559" s="199" t="s">
        <v>415</v>
      </c>
      <c r="K1559" s="201">
        <v>45414</v>
      </c>
      <c r="L1559" s="199" t="s">
        <v>3319</v>
      </c>
      <c r="M1559" s="199" t="s">
        <v>3320</v>
      </c>
    </row>
    <row r="1560" spans="1:13" ht="85.5">
      <c r="A1560" s="199">
        <v>1559</v>
      </c>
      <c r="B1560" s="199" t="s">
        <v>4873</v>
      </c>
      <c r="C1560" s="199" t="s">
        <v>34</v>
      </c>
      <c r="D1560" s="199" t="s">
        <v>35</v>
      </c>
      <c r="E1560" s="199">
        <v>100</v>
      </c>
      <c r="F1560" s="199" t="s">
        <v>8</v>
      </c>
      <c r="G1560" s="199" t="s">
        <v>4755</v>
      </c>
      <c r="H1560" s="200">
        <v>533</v>
      </c>
      <c r="I1560" s="199" t="s">
        <v>20</v>
      </c>
      <c r="J1560" s="199" t="s">
        <v>415</v>
      </c>
      <c r="K1560" s="201">
        <v>45414</v>
      </c>
      <c r="L1560" s="199" t="s">
        <v>3319</v>
      </c>
      <c r="M1560" s="199" t="s">
        <v>3320</v>
      </c>
    </row>
    <row r="1561" spans="1:13" ht="85.5">
      <c r="A1561" s="199">
        <v>1560</v>
      </c>
      <c r="B1561" s="199" t="s">
        <v>4874</v>
      </c>
      <c r="C1561" s="199" t="s">
        <v>34</v>
      </c>
      <c r="D1561" s="199" t="s">
        <v>35</v>
      </c>
      <c r="E1561" s="199">
        <v>100</v>
      </c>
      <c r="F1561" s="199" t="s">
        <v>8</v>
      </c>
      <c r="G1561" s="199" t="s">
        <v>4755</v>
      </c>
      <c r="H1561" s="200">
        <v>535</v>
      </c>
      <c r="I1561" s="199" t="s">
        <v>20</v>
      </c>
      <c r="J1561" s="199" t="s">
        <v>415</v>
      </c>
      <c r="K1561" s="201">
        <v>45414</v>
      </c>
      <c r="L1561" s="199" t="s">
        <v>3319</v>
      </c>
      <c r="M1561" s="199" t="s">
        <v>3320</v>
      </c>
    </row>
    <row r="1562" spans="1:13" ht="85.5">
      <c r="A1562" s="199">
        <v>1561</v>
      </c>
      <c r="B1562" s="199" t="s">
        <v>4875</v>
      </c>
      <c r="C1562" s="199" t="s">
        <v>34</v>
      </c>
      <c r="D1562" s="199" t="s">
        <v>35</v>
      </c>
      <c r="E1562" s="199">
        <v>150</v>
      </c>
      <c r="F1562" s="199" t="s">
        <v>8</v>
      </c>
      <c r="G1562" s="199" t="s">
        <v>4755</v>
      </c>
      <c r="H1562" s="200">
        <v>786</v>
      </c>
      <c r="I1562" s="199" t="s">
        <v>20</v>
      </c>
      <c r="J1562" s="199" t="s">
        <v>415</v>
      </c>
      <c r="K1562" s="201">
        <v>45414</v>
      </c>
      <c r="L1562" s="199" t="s">
        <v>3319</v>
      </c>
      <c r="M1562" s="199" t="s">
        <v>3320</v>
      </c>
    </row>
    <row r="1563" spans="1:13" ht="99.75">
      <c r="A1563" s="199">
        <v>1562</v>
      </c>
      <c r="B1563" s="199" t="s">
        <v>4876</v>
      </c>
      <c r="C1563" s="199" t="s">
        <v>34</v>
      </c>
      <c r="D1563" s="199" t="s">
        <v>35</v>
      </c>
      <c r="E1563" s="199">
        <v>100</v>
      </c>
      <c r="F1563" s="199" t="s">
        <v>8</v>
      </c>
      <c r="G1563" s="199" t="s">
        <v>4755</v>
      </c>
      <c r="H1563" s="200">
        <v>524</v>
      </c>
      <c r="I1563" s="199" t="s">
        <v>20</v>
      </c>
      <c r="J1563" s="199" t="s">
        <v>415</v>
      </c>
      <c r="K1563" s="201">
        <v>45414</v>
      </c>
      <c r="L1563" s="199" t="s">
        <v>3319</v>
      </c>
      <c r="M1563" s="199" t="s">
        <v>3320</v>
      </c>
    </row>
    <row r="1564" spans="1:13" ht="99.75">
      <c r="A1564" s="199">
        <v>1563</v>
      </c>
      <c r="B1564" s="199" t="s">
        <v>4877</v>
      </c>
      <c r="C1564" s="199" t="s">
        <v>34</v>
      </c>
      <c r="D1564" s="199" t="s">
        <v>35</v>
      </c>
      <c r="E1564" s="199">
        <v>100</v>
      </c>
      <c r="F1564" s="199" t="s">
        <v>8</v>
      </c>
      <c r="G1564" s="199" t="s">
        <v>4755</v>
      </c>
      <c r="H1564" s="200">
        <v>535</v>
      </c>
      <c r="I1564" s="199" t="s">
        <v>20</v>
      </c>
      <c r="J1564" s="199" t="s">
        <v>415</v>
      </c>
      <c r="K1564" s="201">
        <v>45414</v>
      </c>
      <c r="L1564" s="199" t="s">
        <v>3319</v>
      </c>
      <c r="M1564" s="199" t="s">
        <v>3320</v>
      </c>
    </row>
    <row r="1565" spans="1:13" ht="85.5">
      <c r="A1565" s="199">
        <v>1564</v>
      </c>
      <c r="B1565" s="199" t="s">
        <v>4878</v>
      </c>
      <c r="C1565" s="199" t="s">
        <v>34</v>
      </c>
      <c r="D1565" s="199" t="s">
        <v>35</v>
      </c>
      <c r="E1565" s="199">
        <v>150</v>
      </c>
      <c r="F1565" s="199" t="s">
        <v>8</v>
      </c>
      <c r="G1565" s="199" t="s">
        <v>4755</v>
      </c>
      <c r="H1565" s="200">
        <v>646.5</v>
      </c>
      <c r="I1565" s="199" t="s">
        <v>20</v>
      </c>
      <c r="J1565" s="199" t="s">
        <v>415</v>
      </c>
      <c r="K1565" s="201">
        <v>45414</v>
      </c>
      <c r="L1565" s="199" t="s">
        <v>3319</v>
      </c>
      <c r="M1565" s="199" t="s">
        <v>3320</v>
      </c>
    </row>
    <row r="1566" spans="1:13" ht="85.5">
      <c r="A1566" s="199">
        <v>1565</v>
      </c>
      <c r="B1566" s="199" t="s">
        <v>4879</v>
      </c>
      <c r="C1566" s="199" t="s">
        <v>34</v>
      </c>
      <c r="D1566" s="199" t="s">
        <v>35</v>
      </c>
      <c r="E1566" s="199">
        <v>100</v>
      </c>
      <c r="F1566" s="199" t="s">
        <v>8</v>
      </c>
      <c r="G1566" s="199" t="s">
        <v>4755</v>
      </c>
      <c r="H1566" s="200">
        <v>438</v>
      </c>
      <c r="I1566" s="199" t="s">
        <v>20</v>
      </c>
      <c r="J1566" s="199" t="s">
        <v>415</v>
      </c>
      <c r="K1566" s="201">
        <v>45414</v>
      </c>
      <c r="L1566" s="199" t="s">
        <v>3319</v>
      </c>
      <c r="M1566" s="199" t="s">
        <v>3320</v>
      </c>
    </row>
    <row r="1567" spans="1:13" ht="85.5">
      <c r="A1567" s="199">
        <v>1566</v>
      </c>
      <c r="B1567" s="199" t="s">
        <v>4880</v>
      </c>
      <c r="C1567" s="199" t="s">
        <v>34</v>
      </c>
      <c r="D1567" s="199" t="s">
        <v>35</v>
      </c>
      <c r="E1567" s="199">
        <v>100</v>
      </c>
      <c r="F1567" s="199" t="s">
        <v>8</v>
      </c>
      <c r="G1567" s="199" t="s">
        <v>4755</v>
      </c>
      <c r="H1567" s="200">
        <v>440</v>
      </c>
      <c r="I1567" s="199" t="s">
        <v>20</v>
      </c>
      <c r="J1567" s="199" t="s">
        <v>415</v>
      </c>
      <c r="K1567" s="201">
        <v>45414</v>
      </c>
      <c r="L1567" s="199" t="s">
        <v>3319</v>
      </c>
      <c r="M1567" s="199" t="s">
        <v>3320</v>
      </c>
    </row>
    <row r="1568" spans="1:13" ht="85.5">
      <c r="A1568" s="199">
        <v>1567</v>
      </c>
      <c r="B1568" s="199" t="s">
        <v>4881</v>
      </c>
      <c r="C1568" s="199" t="s">
        <v>34</v>
      </c>
      <c r="D1568" s="199" t="s">
        <v>35</v>
      </c>
      <c r="E1568" s="199">
        <v>100</v>
      </c>
      <c r="F1568" s="199" t="s">
        <v>8</v>
      </c>
      <c r="G1568" s="199" t="s">
        <v>4755</v>
      </c>
      <c r="H1568" s="200">
        <v>431</v>
      </c>
      <c r="I1568" s="199" t="s">
        <v>20</v>
      </c>
      <c r="J1568" s="199" t="s">
        <v>415</v>
      </c>
      <c r="K1568" s="201">
        <v>45414</v>
      </c>
      <c r="L1568" s="199" t="s">
        <v>3319</v>
      </c>
      <c r="M1568" s="199" t="s">
        <v>3320</v>
      </c>
    </row>
    <row r="1569" spans="1:13" ht="85.5">
      <c r="A1569" s="199">
        <v>1568</v>
      </c>
      <c r="B1569" s="199" t="s">
        <v>4882</v>
      </c>
      <c r="C1569" s="199" t="s">
        <v>34</v>
      </c>
      <c r="D1569" s="199" t="s">
        <v>35</v>
      </c>
      <c r="E1569" s="199">
        <v>100</v>
      </c>
      <c r="F1569" s="199" t="s">
        <v>8</v>
      </c>
      <c r="G1569" s="199" t="s">
        <v>4755</v>
      </c>
      <c r="H1569" s="200">
        <v>438</v>
      </c>
      <c r="I1569" s="199" t="s">
        <v>20</v>
      </c>
      <c r="J1569" s="199" t="s">
        <v>415</v>
      </c>
      <c r="K1569" s="201">
        <v>45414</v>
      </c>
      <c r="L1569" s="199" t="s">
        <v>3319</v>
      </c>
      <c r="M1569" s="199" t="s">
        <v>3320</v>
      </c>
    </row>
    <row r="1570" spans="1:13" ht="85.5">
      <c r="A1570" s="199">
        <v>1569</v>
      </c>
      <c r="B1570" s="199" t="s">
        <v>4883</v>
      </c>
      <c r="C1570" s="199" t="s">
        <v>34</v>
      </c>
      <c r="D1570" s="199" t="s">
        <v>35</v>
      </c>
      <c r="E1570" s="199">
        <v>150</v>
      </c>
      <c r="F1570" s="199" t="s">
        <v>8</v>
      </c>
      <c r="G1570" s="199" t="s">
        <v>4755</v>
      </c>
      <c r="H1570" s="200">
        <v>802.5</v>
      </c>
      <c r="I1570" s="199" t="s">
        <v>20</v>
      </c>
      <c r="J1570" s="199" t="s">
        <v>415</v>
      </c>
      <c r="K1570" s="201">
        <v>45414</v>
      </c>
      <c r="L1570" s="199" t="s">
        <v>3319</v>
      </c>
      <c r="M1570" s="199" t="s">
        <v>3320</v>
      </c>
    </row>
    <row r="1571" spans="1:13" ht="128.25">
      <c r="A1571" s="199">
        <v>1570</v>
      </c>
      <c r="B1571" s="199" t="s">
        <v>4884</v>
      </c>
      <c r="C1571" s="199" t="s">
        <v>34</v>
      </c>
      <c r="D1571" s="199" t="s">
        <v>35</v>
      </c>
      <c r="E1571" s="199">
        <v>100</v>
      </c>
      <c r="F1571" s="199" t="s">
        <v>8</v>
      </c>
      <c r="G1571" s="199" t="s">
        <v>4755</v>
      </c>
      <c r="H1571" s="200">
        <v>524</v>
      </c>
      <c r="I1571" s="199" t="s">
        <v>20</v>
      </c>
      <c r="J1571" s="199" t="s">
        <v>415</v>
      </c>
      <c r="K1571" s="201">
        <v>45414</v>
      </c>
      <c r="L1571" s="199" t="s">
        <v>3319</v>
      </c>
      <c r="M1571" s="199" t="s">
        <v>3320</v>
      </c>
    </row>
    <row r="1572" spans="1:13" ht="85.5">
      <c r="A1572" s="199">
        <v>1571</v>
      </c>
      <c r="B1572" s="199" t="s">
        <v>4885</v>
      </c>
      <c r="C1572" s="199" t="s">
        <v>34</v>
      </c>
      <c r="D1572" s="199" t="s">
        <v>35</v>
      </c>
      <c r="E1572" s="199">
        <v>100</v>
      </c>
      <c r="F1572" s="199" t="s">
        <v>8</v>
      </c>
      <c r="G1572" s="199" t="s">
        <v>4755</v>
      </c>
      <c r="H1572" s="200">
        <v>438</v>
      </c>
      <c r="I1572" s="199" t="s">
        <v>20</v>
      </c>
      <c r="J1572" s="199" t="s">
        <v>415</v>
      </c>
      <c r="K1572" s="201">
        <v>45414</v>
      </c>
      <c r="L1572" s="199" t="s">
        <v>3319</v>
      </c>
      <c r="M1572" s="199" t="s">
        <v>3320</v>
      </c>
    </row>
    <row r="1573" spans="1:13" ht="99.75">
      <c r="A1573" s="199">
        <v>1572</v>
      </c>
      <c r="B1573" s="199" t="s">
        <v>4886</v>
      </c>
      <c r="C1573" s="199" t="s">
        <v>34</v>
      </c>
      <c r="D1573" s="199" t="s">
        <v>35</v>
      </c>
      <c r="E1573" s="199">
        <v>100</v>
      </c>
      <c r="F1573" s="199" t="s">
        <v>8</v>
      </c>
      <c r="G1573" s="199" t="s">
        <v>4755</v>
      </c>
      <c r="H1573" s="200">
        <v>440</v>
      </c>
      <c r="I1573" s="199" t="s">
        <v>20</v>
      </c>
      <c r="J1573" s="199" t="s">
        <v>415</v>
      </c>
      <c r="K1573" s="201">
        <v>45414</v>
      </c>
      <c r="L1573" s="199" t="s">
        <v>3319</v>
      </c>
      <c r="M1573" s="199" t="s">
        <v>3320</v>
      </c>
    </row>
    <row r="1574" spans="1:13" ht="128.25">
      <c r="A1574" s="199">
        <v>1573</v>
      </c>
      <c r="B1574" s="199" t="s">
        <v>4887</v>
      </c>
      <c r="C1574" s="199" t="s">
        <v>34</v>
      </c>
      <c r="D1574" s="199" t="s">
        <v>35</v>
      </c>
      <c r="E1574" s="199">
        <v>100</v>
      </c>
      <c r="F1574" s="199" t="s">
        <v>8</v>
      </c>
      <c r="G1574" s="199" t="s">
        <v>4755</v>
      </c>
      <c r="H1574" s="200">
        <v>524</v>
      </c>
      <c r="I1574" s="199" t="s">
        <v>20</v>
      </c>
      <c r="J1574" s="199" t="s">
        <v>415</v>
      </c>
      <c r="K1574" s="201">
        <v>45414</v>
      </c>
      <c r="L1574" s="199" t="s">
        <v>3319</v>
      </c>
      <c r="M1574" s="199" t="s">
        <v>3320</v>
      </c>
    </row>
    <row r="1575" spans="1:13" ht="85.5">
      <c r="A1575" s="199">
        <v>1574</v>
      </c>
      <c r="B1575" s="199" t="s">
        <v>4888</v>
      </c>
      <c r="C1575" s="199" t="s">
        <v>34</v>
      </c>
      <c r="D1575" s="199" t="s">
        <v>35</v>
      </c>
      <c r="E1575" s="199">
        <v>100</v>
      </c>
      <c r="F1575" s="199" t="s">
        <v>8</v>
      </c>
      <c r="G1575" s="199" t="s">
        <v>4755</v>
      </c>
      <c r="H1575" s="200">
        <v>533</v>
      </c>
      <c r="I1575" s="199" t="s">
        <v>20</v>
      </c>
      <c r="J1575" s="199" t="s">
        <v>415</v>
      </c>
      <c r="K1575" s="201">
        <v>45414</v>
      </c>
      <c r="L1575" s="199" t="s">
        <v>3319</v>
      </c>
      <c r="M1575" s="199" t="s">
        <v>3320</v>
      </c>
    </row>
    <row r="1576" spans="1:13" ht="85.5">
      <c r="A1576" s="199">
        <v>1575</v>
      </c>
      <c r="B1576" s="199" t="s">
        <v>4889</v>
      </c>
      <c r="C1576" s="199" t="s">
        <v>34</v>
      </c>
      <c r="D1576" s="199" t="s">
        <v>35</v>
      </c>
      <c r="E1576" s="199">
        <v>100</v>
      </c>
      <c r="F1576" s="199" t="s">
        <v>8</v>
      </c>
      <c r="G1576" s="199" t="s">
        <v>4755</v>
      </c>
      <c r="H1576" s="200">
        <v>535</v>
      </c>
      <c r="I1576" s="199" t="s">
        <v>20</v>
      </c>
      <c r="J1576" s="199" t="s">
        <v>415</v>
      </c>
      <c r="K1576" s="201">
        <v>45414</v>
      </c>
      <c r="L1576" s="199" t="s">
        <v>3319</v>
      </c>
      <c r="M1576" s="199" t="s">
        <v>3320</v>
      </c>
    </row>
    <row r="1577" spans="1:13" ht="85.5">
      <c r="A1577" s="199">
        <v>1576</v>
      </c>
      <c r="B1577" s="199" t="s">
        <v>4890</v>
      </c>
      <c r="C1577" s="199" t="s">
        <v>34</v>
      </c>
      <c r="D1577" s="199" t="s">
        <v>35</v>
      </c>
      <c r="E1577" s="199">
        <v>50</v>
      </c>
      <c r="F1577" s="199" t="s">
        <v>8</v>
      </c>
      <c r="G1577" s="199" t="s">
        <v>4755</v>
      </c>
      <c r="H1577" s="200">
        <v>215.5</v>
      </c>
      <c r="I1577" s="199" t="s">
        <v>20</v>
      </c>
      <c r="J1577" s="199" t="s">
        <v>415</v>
      </c>
      <c r="K1577" s="201">
        <v>45414</v>
      </c>
      <c r="L1577" s="199" t="s">
        <v>3319</v>
      </c>
      <c r="M1577" s="199" t="s">
        <v>3320</v>
      </c>
    </row>
    <row r="1578" spans="1:13" ht="85.5">
      <c r="A1578" s="199">
        <v>1577</v>
      </c>
      <c r="B1578" s="199" t="s">
        <v>4891</v>
      </c>
      <c r="C1578" s="199" t="s">
        <v>34</v>
      </c>
      <c r="D1578" s="199" t="s">
        <v>35</v>
      </c>
      <c r="E1578" s="199">
        <v>100</v>
      </c>
      <c r="F1578" s="199" t="s">
        <v>8</v>
      </c>
      <c r="G1578" s="199" t="s">
        <v>4755</v>
      </c>
      <c r="H1578" s="200">
        <v>438</v>
      </c>
      <c r="I1578" s="199" t="s">
        <v>20</v>
      </c>
      <c r="J1578" s="199" t="s">
        <v>415</v>
      </c>
      <c r="K1578" s="201">
        <v>45414</v>
      </c>
      <c r="L1578" s="199" t="s">
        <v>3319</v>
      </c>
      <c r="M1578" s="199" t="s">
        <v>3320</v>
      </c>
    </row>
    <row r="1579" spans="1:13" ht="185.25">
      <c r="A1579" s="199">
        <v>1578</v>
      </c>
      <c r="B1579" s="199" t="s">
        <v>4892</v>
      </c>
      <c r="C1579" s="199" t="s">
        <v>34</v>
      </c>
      <c r="D1579" s="199" t="s">
        <v>35</v>
      </c>
      <c r="E1579" s="199">
        <v>150</v>
      </c>
      <c r="F1579" s="199" t="s">
        <v>8</v>
      </c>
      <c r="G1579" s="199" t="s">
        <v>4755</v>
      </c>
      <c r="H1579" s="200">
        <v>3574.5</v>
      </c>
      <c r="I1579" s="199" t="s">
        <v>20</v>
      </c>
      <c r="J1579" s="199" t="s">
        <v>415</v>
      </c>
      <c r="K1579" s="201">
        <v>45414</v>
      </c>
      <c r="L1579" s="199" t="s">
        <v>3319</v>
      </c>
      <c r="M1579" s="199" t="s">
        <v>3320</v>
      </c>
    </row>
    <row r="1580" spans="1:13" ht="171">
      <c r="A1580" s="199">
        <v>1579</v>
      </c>
      <c r="B1580" s="199" t="s">
        <v>4893</v>
      </c>
      <c r="C1580" s="199" t="s">
        <v>34</v>
      </c>
      <c r="D1580" s="199" t="s">
        <v>35</v>
      </c>
      <c r="E1580" s="199">
        <v>100</v>
      </c>
      <c r="F1580" s="199" t="s">
        <v>8</v>
      </c>
      <c r="G1580" s="199" t="s">
        <v>4755</v>
      </c>
      <c r="H1580" s="200">
        <v>2324</v>
      </c>
      <c r="I1580" s="199" t="s">
        <v>20</v>
      </c>
      <c r="J1580" s="199" t="s">
        <v>415</v>
      </c>
      <c r="K1580" s="201">
        <v>45414</v>
      </c>
      <c r="L1580" s="199" t="s">
        <v>3319</v>
      </c>
      <c r="M1580" s="199" t="s">
        <v>3320</v>
      </c>
    </row>
    <row r="1581" spans="1:13" ht="85.5">
      <c r="A1581" s="199">
        <v>1580</v>
      </c>
      <c r="B1581" s="199" t="s">
        <v>4894</v>
      </c>
      <c r="C1581" s="199" t="s">
        <v>34</v>
      </c>
      <c r="D1581" s="199" t="s">
        <v>35</v>
      </c>
      <c r="E1581" s="199">
        <v>10</v>
      </c>
      <c r="F1581" s="199" t="s">
        <v>8</v>
      </c>
      <c r="G1581" s="199" t="s">
        <v>4755</v>
      </c>
      <c r="H1581" s="200">
        <v>473.2</v>
      </c>
      <c r="I1581" s="199" t="s">
        <v>20</v>
      </c>
      <c r="J1581" s="199" t="s">
        <v>415</v>
      </c>
      <c r="K1581" s="201">
        <v>45414</v>
      </c>
      <c r="L1581" s="199" t="s">
        <v>3319</v>
      </c>
      <c r="M1581" s="199" t="s">
        <v>3320</v>
      </c>
    </row>
    <row r="1582" spans="1:13" ht="85.5">
      <c r="A1582" s="199">
        <v>1581</v>
      </c>
      <c r="B1582" s="199" t="s">
        <v>4895</v>
      </c>
      <c r="C1582" s="199" t="s">
        <v>34</v>
      </c>
      <c r="D1582" s="199" t="s">
        <v>35</v>
      </c>
      <c r="E1582" s="199">
        <v>50</v>
      </c>
      <c r="F1582" s="199" t="s">
        <v>8</v>
      </c>
      <c r="G1582" s="199" t="s">
        <v>4755</v>
      </c>
      <c r="H1582" s="200">
        <v>368</v>
      </c>
      <c r="I1582" s="199" t="s">
        <v>20</v>
      </c>
      <c r="J1582" s="199" t="s">
        <v>415</v>
      </c>
      <c r="K1582" s="201">
        <v>45414</v>
      </c>
      <c r="L1582" s="199" t="s">
        <v>3319</v>
      </c>
      <c r="M1582" s="199" t="s">
        <v>3320</v>
      </c>
    </row>
    <row r="1583" spans="1:13" ht="114">
      <c r="A1583" s="199">
        <v>1582</v>
      </c>
      <c r="B1583" s="199" t="s">
        <v>4896</v>
      </c>
      <c r="C1583" s="199" t="s">
        <v>34</v>
      </c>
      <c r="D1583" s="199" t="s">
        <v>35</v>
      </c>
      <c r="E1583" s="199">
        <v>100</v>
      </c>
      <c r="F1583" s="199" t="s">
        <v>8</v>
      </c>
      <c r="G1583" s="199" t="s">
        <v>4755</v>
      </c>
      <c r="H1583" s="200">
        <v>3486</v>
      </c>
      <c r="I1583" s="199" t="s">
        <v>20</v>
      </c>
      <c r="J1583" s="199" t="s">
        <v>415</v>
      </c>
      <c r="K1583" s="201">
        <v>45414</v>
      </c>
      <c r="L1583" s="199" t="s">
        <v>3319</v>
      </c>
      <c r="M1583" s="199" t="s">
        <v>3320</v>
      </c>
    </row>
    <row r="1584" spans="1:13" ht="85.5">
      <c r="A1584" s="199">
        <v>1583</v>
      </c>
      <c r="B1584" s="199" t="s">
        <v>4897</v>
      </c>
      <c r="C1584" s="199" t="s">
        <v>34</v>
      </c>
      <c r="D1584" s="199" t="s">
        <v>35</v>
      </c>
      <c r="E1584" s="199">
        <v>50</v>
      </c>
      <c r="F1584" s="199" t="s">
        <v>3846</v>
      </c>
      <c r="G1584" s="199" t="s">
        <v>4755</v>
      </c>
      <c r="H1584" s="200">
        <v>3549</v>
      </c>
      <c r="I1584" s="199" t="s">
        <v>20</v>
      </c>
      <c r="J1584" s="199" t="s">
        <v>415</v>
      </c>
      <c r="K1584" s="201">
        <v>45414</v>
      </c>
      <c r="L1584" s="199" t="s">
        <v>3319</v>
      </c>
      <c r="M1584" s="199" t="s">
        <v>3320</v>
      </c>
    </row>
    <row r="1585" spans="1:13" ht="128.25">
      <c r="A1585" s="199">
        <v>1584</v>
      </c>
      <c r="B1585" s="199" t="s">
        <v>4898</v>
      </c>
      <c r="C1585" s="199" t="s">
        <v>34</v>
      </c>
      <c r="D1585" s="199" t="s">
        <v>35</v>
      </c>
      <c r="E1585" s="199">
        <v>150</v>
      </c>
      <c r="F1585" s="199" t="s">
        <v>591</v>
      </c>
      <c r="G1585" s="199" t="s">
        <v>4755</v>
      </c>
      <c r="H1585" s="200">
        <v>1065</v>
      </c>
      <c r="I1585" s="199" t="s">
        <v>20</v>
      </c>
      <c r="J1585" s="199" t="s">
        <v>415</v>
      </c>
      <c r="K1585" s="201">
        <v>45414</v>
      </c>
      <c r="L1585" s="199" t="s">
        <v>3319</v>
      </c>
      <c r="M1585" s="199" t="s">
        <v>3320</v>
      </c>
    </row>
    <row r="1586" spans="1:13" ht="85.5">
      <c r="A1586" s="199">
        <v>1585</v>
      </c>
      <c r="B1586" s="199" t="s">
        <v>4899</v>
      </c>
      <c r="C1586" s="199" t="s">
        <v>34</v>
      </c>
      <c r="D1586" s="199" t="s">
        <v>35</v>
      </c>
      <c r="E1586" s="199">
        <v>10</v>
      </c>
      <c r="F1586" s="199" t="s">
        <v>8</v>
      </c>
      <c r="G1586" s="199" t="s">
        <v>4755</v>
      </c>
      <c r="H1586" s="200">
        <v>279.89999999999998</v>
      </c>
      <c r="I1586" s="199" t="s">
        <v>20</v>
      </c>
      <c r="J1586" s="199" t="s">
        <v>415</v>
      </c>
      <c r="K1586" s="201">
        <v>45414</v>
      </c>
      <c r="L1586" s="199" t="s">
        <v>3319</v>
      </c>
      <c r="M1586" s="199" t="s">
        <v>3320</v>
      </c>
    </row>
    <row r="1587" spans="1:13" ht="85.5">
      <c r="A1587" s="199">
        <v>1586</v>
      </c>
      <c r="B1587" s="199" t="s">
        <v>4900</v>
      </c>
      <c r="C1587" s="199" t="s">
        <v>34</v>
      </c>
      <c r="D1587" s="199" t="s">
        <v>35</v>
      </c>
      <c r="E1587" s="199">
        <v>10</v>
      </c>
      <c r="F1587" s="199" t="s">
        <v>8</v>
      </c>
      <c r="G1587" s="199" t="s">
        <v>4755</v>
      </c>
      <c r="H1587" s="200">
        <v>284.89999999999998</v>
      </c>
      <c r="I1587" s="199" t="s">
        <v>20</v>
      </c>
      <c r="J1587" s="199" t="s">
        <v>415</v>
      </c>
      <c r="K1587" s="201">
        <v>45414</v>
      </c>
      <c r="L1587" s="199" t="s">
        <v>3319</v>
      </c>
      <c r="M1587" s="199" t="s">
        <v>3320</v>
      </c>
    </row>
    <row r="1588" spans="1:13" ht="85.5">
      <c r="A1588" s="199">
        <v>1587</v>
      </c>
      <c r="B1588" s="199" t="s">
        <v>4901</v>
      </c>
      <c r="C1588" s="199" t="s">
        <v>34</v>
      </c>
      <c r="D1588" s="199" t="s">
        <v>35</v>
      </c>
      <c r="E1588" s="199">
        <v>5000</v>
      </c>
      <c r="F1588" s="199" t="s">
        <v>8</v>
      </c>
      <c r="G1588" s="199" t="s">
        <v>4755</v>
      </c>
      <c r="H1588" s="200">
        <v>9500</v>
      </c>
      <c r="I1588" s="199" t="s">
        <v>20</v>
      </c>
      <c r="J1588" s="199" t="s">
        <v>415</v>
      </c>
      <c r="K1588" s="201">
        <v>45414</v>
      </c>
      <c r="L1588" s="199" t="s">
        <v>3319</v>
      </c>
      <c r="M1588" s="199" t="s">
        <v>3320</v>
      </c>
    </row>
    <row r="1589" spans="1:13" ht="199.5">
      <c r="A1589" s="199">
        <v>1588</v>
      </c>
      <c r="B1589" s="199" t="s">
        <v>4902</v>
      </c>
      <c r="C1589" s="199" t="s">
        <v>34</v>
      </c>
      <c r="D1589" s="199" t="s">
        <v>35</v>
      </c>
      <c r="E1589" s="199">
        <v>30</v>
      </c>
      <c r="F1589" s="199" t="s">
        <v>8</v>
      </c>
      <c r="G1589" s="199" t="s">
        <v>4755</v>
      </c>
      <c r="H1589" s="200">
        <v>541.20000000000005</v>
      </c>
      <c r="I1589" s="199" t="s">
        <v>20</v>
      </c>
      <c r="J1589" s="199" t="s">
        <v>415</v>
      </c>
      <c r="K1589" s="201">
        <v>45414</v>
      </c>
      <c r="L1589" s="199" t="s">
        <v>3319</v>
      </c>
      <c r="M1589" s="199" t="s">
        <v>3320</v>
      </c>
    </row>
    <row r="1590" spans="1:13" ht="85.5">
      <c r="A1590" s="199">
        <v>1589</v>
      </c>
      <c r="B1590" s="199" t="s">
        <v>4903</v>
      </c>
      <c r="C1590" s="199" t="s">
        <v>34</v>
      </c>
      <c r="D1590" s="199" t="s">
        <v>35</v>
      </c>
      <c r="E1590" s="199">
        <v>250</v>
      </c>
      <c r="F1590" s="199" t="s">
        <v>8</v>
      </c>
      <c r="G1590" s="199" t="s">
        <v>4755</v>
      </c>
      <c r="H1590" s="200">
        <v>3550</v>
      </c>
      <c r="I1590" s="199" t="s">
        <v>20</v>
      </c>
      <c r="J1590" s="199" t="s">
        <v>415</v>
      </c>
      <c r="K1590" s="201">
        <v>45414</v>
      </c>
      <c r="L1590" s="199" t="s">
        <v>3319</v>
      </c>
      <c r="M1590" s="199" t="s">
        <v>3320</v>
      </c>
    </row>
    <row r="1591" spans="1:13" ht="85.5">
      <c r="A1591" s="199">
        <v>1590</v>
      </c>
      <c r="B1591" s="199" t="s">
        <v>4904</v>
      </c>
      <c r="C1591" s="199" t="s">
        <v>34</v>
      </c>
      <c r="D1591" s="199" t="s">
        <v>35</v>
      </c>
      <c r="E1591" s="199">
        <v>40</v>
      </c>
      <c r="F1591" s="199" t="s">
        <v>2378</v>
      </c>
      <c r="G1591" s="199" t="s">
        <v>4755</v>
      </c>
      <c r="H1591" s="200">
        <v>1599.6</v>
      </c>
      <c r="I1591" s="199" t="s">
        <v>20</v>
      </c>
      <c r="J1591" s="199" t="s">
        <v>415</v>
      </c>
      <c r="K1591" s="201">
        <v>45414</v>
      </c>
      <c r="L1591" s="199" t="s">
        <v>3319</v>
      </c>
      <c r="M1591" s="199" t="s">
        <v>3320</v>
      </c>
    </row>
    <row r="1592" spans="1:13" ht="85.5">
      <c r="A1592" s="199">
        <v>1591</v>
      </c>
      <c r="B1592" s="199" t="s">
        <v>4905</v>
      </c>
      <c r="C1592" s="199" t="s">
        <v>34</v>
      </c>
      <c r="D1592" s="199" t="s">
        <v>35</v>
      </c>
      <c r="E1592" s="199">
        <v>60</v>
      </c>
      <c r="F1592" s="199" t="s">
        <v>2378</v>
      </c>
      <c r="G1592" s="199" t="s">
        <v>4755</v>
      </c>
      <c r="H1592" s="200">
        <v>493.2</v>
      </c>
      <c r="I1592" s="199" t="s">
        <v>20</v>
      </c>
      <c r="J1592" s="199" t="s">
        <v>415</v>
      </c>
      <c r="K1592" s="201">
        <v>45414</v>
      </c>
      <c r="L1592" s="199" t="s">
        <v>3319</v>
      </c>
      <c r="M1592" s="199" t="s">
        <v>3320</v>
      </c>
    </row>
    <row r="1593" spans="1:13" ht="85.5">
      <c r="A1593" s="199">
        <v>1592</v>
      </c>
      <c r="B1593" s="199" t="s">
        <v>4906</v>
      </c>
      <c r="C1593" s="199" t="s">
        <v>34</v>
      </c>
      <c r="D1593" s="199" t="s">
        <v>35</v>
      </c>
      <c r="E1593" s="199">
        <v>100</v>
      </c>
      <c r="F1593" s="199" t="s">
        <v>4907</v>
      </c>
      <c r="G1593" s="199" t="s">
        <v>4755</v>
      </c>
      <c r="H1593" s="200">
        <v>5596</v>
      </c>
      <c r="I1593" s="199" t="s">
        <v>20</v>
      </c>
      <c r="J1593" s="199" t="s">
        <v>415</v>
      </c>
      <c r="K1593" s="201">
        <v>45414</v>
      </c>
      <c r="L1593" s="199" t="s">
        <v>3319</v>
      </c>
      <c r="M1593" s="199" t="s">
        <v>3320</v>
      </c>
    </row>
    <row r="1594" spans="1:13" ht="85.5">
      <c r="A1594" s="199">
        <v>1593</v>
      </c>
      <c r="B1594" s="199" t="s">
        <v>4908</v>
      </c>
      <c r="C1594" s="199" t="s">
        <v>34</v>
      </c>
      <c r="D1594" s="199" t="s">
        <v>35</v>
      </c>
      <c r="E1594" s="199">
        <v>25</v>
      </c>
      <c r="F1594" s="199" t="s">
        <v>3846</v>
      </c>
      <c r="G1594" s="199" t="s">
        <v>4755</v>
      </c>
      <c r="H1594" s="200">
        <v>887.5</v>
      </c>
      <c r="I1594" s="199" t="s">
        <v>20</v>
      </c>
      <c r="J1594" s="199" t="s">
        <v>415</v>
      </c>
      <c r="K1594" s="201">
        <v>45414</v>
      </c>
      <c r="L1594" s="199" t="s">
        <v>3319</v>
      </c>
      <c r="M1594" s="199" t="s">
        <v>3320</v>
      </c>
    </row>
    <row r="1595" spans="1:13" ht="85.5">
      <c r="A1595" s="199">
        <v>1594</v>
      </c>
      <c r="B1595" s="199" t="s">
        <v>4909</v>
      </c>
      <c r="C1595" s="199" t="s">
        <v>34</v>
      </c>
      <c r="D1595" s="199" t="s">
        <v>35</v>
      </c>
      <c r="E1595" s="199">
        <v>400</v>
      </c>
      <c r="F1595" s="199" t="s">
        <v>3846</v>
      </c>
      <c r="G1595" s="199" t="s">
        <v>4755</v>
      </c>
      <c r="H1595" s="200">
        <v>150596</v>
      </c>
      <c r="I1595" s="199" t="s">
        <v>20</v>
      </c>
      <c r="J1595" s="199" t="s">
        <v>415</v>
      </c>
      <c r="K1595" s="201">
        <v>45414</v>
      </c>
      <c r="L1595" s="199" t="s">
        <v>3319</v>
      </c>
      <c r="M1595" s="199" t="s">
        <v>3320</v>
      </c>
    </row>
    <row r="1596" spans="1:13" ht="85.5">
      <c r="A1596" s="199">
        <v>1595</v>
      </c>
      <c r="B1596" s="199" t="s">
        <v>4910</v>
      </c>
      <c r="C1596" s="199" t="s">
        <v>34</v>
      </c>
      <c r="D1596" s="199" t="s">
        <v>35</v>
      </c>
      <c r="E1596" s="199">
        <v>150</v>
      </c>
      <c r="F1596" s="199" t="s">
        <v>591</v>
      </c>
      <c r="G1596" s="199" t="s">
        <v>4755</v>
      </c>
      <c r="H1596" s="200">
        <v>1651.5</v>
      </c>
      <c r="I1596" s="199" t="s">
        <v>20</v>
      </c>
      <c r="J1596" s="199" t="s">
        <v>415</v>
      </c>
      <c r="K1596" s="201">
        <v>45414</v>
      </c>
      <c r="L1596" s="199" t="s">
        <v>3319</v>
      </c>
      <c r="M1596" s="199" t="s">
        <v>3320</v>
      </c>
    </row>
    <row r="1597" spans="1:13" ht="85.5">
      <c r="A1597" s="199">
        <v>1596</v>
      </c>
      <c r="B1597" s="199" t="s">
        <v>4911</v>
      </c>
      <c r="C1597" s="199" t="s">
        <v>34</v>
      </c>
      <c r="D1597" s="199" t="s">
        <v>35</v>
      </c>
      <c r="E1597" s="199">
        <v>150</v>
      </c>
      <c r="F1597" s="199" t="s">
        <v>591</v>
      </c>
      <c r="G1597" s="199" t="s">
        <v>4755</v>
      </c>
      <c r="H1597" s="200">
        <v>1656</v>
      </c>
      <c r="I1597" s="199" t="s">
        <v>20</v>
      </c>
      <c r="J1597" s="199" t="s">
        <v>415</v>
      </c>
      <c r="K1597" s="201">
        <v>45414</v>
      </c>
      <c r="L1597" s="199" t="s">
        <v>3319</v>
      </c>
      <c r="M1597" s="199" t="s">
        <v>3320</v>
      </c>
    </row>
    <row r="1598" spans="1:13" ht="85.5">
      <c r="A1598" s="199">
        <v>1597</v>
      </c>
      <c r="B1598" s="199" t="s">
        <v>4912</v>
      </c>
      <c r="C1598" s="199" t="s">
        <v>34</v>
      </c>
      <c r="D1598" s="199" t="s">
        <v>35</v>
      </c>
      <c r="E1598" s="199">
        <v>30</v>
      </c>
      <c r="F1598" s="199" t="s">
        <v>2378</v>
      </c>
      <c r="G1598" s="199" t="s">
        <v>4755</v>
      </c>
      <c r="H1598" s="200">
        <v>582.9</v>
      </c>
      <c r="I1598" s="199" t="s">
        <v>20</v>
      </c>
      <c r="J1598" s="199" t="s">
        <v>415</v>
      </c>
      <c r="K1598" s="201">
        <v>45414</v>
      </c>
      <c r="L1598" s="199" t="s">
        <v>3319</v>
      </c>
      <c r="M1598" s="199" t="s">
        <v>3320</v>
      </c>
    </row>
    <row r="1599" spans="1:13" ht="85.5">
      <c r="A1599" s="199">
        <v>1598</v>
      </c>
      <c r="B1599" s="199" t="s">
        <v>4913</v>
      </c>
      <c r="C1599" s="199" t="s">
        <v>34</v>
      </c>
      <c r="D1599" s="199" t="s">
        <v>35</v>
      </c>
      <c r="E1599" s="199">
        <v>30</v>
      </c>
      <c r="F1599" s="199" t="s">
        <v>2378</v>
      </c>
      <c r="G1599" s="199" t="s">
        <v>4755</v>
      </c>
      <c r="H1599" s="200">
        <v>755.1</v>
      </c>
      <c r="I1599" s="199" t="s">
        <v>20</v>
      </c>
      <c r="J1599" s="199" t="s">
        <v>415</v>
      </c>
      <c r="K1599" s="201">
        <v>45414</v>
      </c>
      <c r="L1599" s="199" t="s">
        <v>3319</v>
      </c>
      <c r="M1599" s="199" t="s">
        <v>3320</v>
      </c>
    </row>
    <row r="1600" spans="1:13" ht="85.5">
      <c r="A1600" s="199">
        <v>1599</v>
      </c>
      <c r="B1600" s="199" t="s">
        <v>4914</v>
      </c>
      <c r="C1600" s="199" t="s">
        <v>34</v>
      </c>
      <c r="D1600" s="199" t="s">
        <v>35</v>
      </c>
      <c r="E1600" s="199">
        <v>150</v>
      </c>
      <c r="F1600" s="199" t="s">
        <v>8</v>
      </c>
      <c r="G1600" s="199" t="s">
        <v>4755</v>
      </c>
      <c r="H1600" s="200">
        <v>355.5</v>
      </c>
      <c r="I1600" s="199" t="s">
        <v>20</v>
      </c>
      <c r="J1600" s="199" t="s">
        <v>415</v>
      </c>
      <c r="K1600" s="201">
        <v>45414</v>
      </c>
      <c r="L1600" s="199" t="s">
        <v>3319</v>
      </c>
      <c r="M1600" s="199" t="s">
        <v>3320</v>
      </c>
    </row>
    <row r="1601" spans="1:13" ht="85.5">
      <c r="A1601" s="199">
        <v>1600</v>
      </c>
      <c r="B1601" s="199" t="s">
        <v>4915</v>
      </c>
      <c r="C1601" s="199" t="s">
        <v>34</v>
      </c>
      <c r="D1601" s="199" t="s">
        <v>35</v>
      </c>
      <c r="E1601" s="199">
        <v>150</v>
      </c>
      <c r="F1601" s="199" t="s">
        <v>591</v>
      </c>
      <c r="G1601" s="199" t="s">
        <v>4755</v>
      </c>
      <c r="H1601" s="200">
        <v>487.5</v>
      </c>
      <c r="I1601" s="199" t="s">
        <v>20</v>
      </c>
      <c r="J1601" s="199" t="s">
        <v>415</v>
      </c>
      <c r="K1601" s="201">
        <v>45414</v>
      </c>
      <c r="L1601" s="199" t="s">
        <v>3319</v>
      </c>
      <c r="M1601" s="199" t="s">
        <v>3320</v>
      </c>
    </row>
    <row r="1602" spans="1:13" ht="85.5">
      <c r="A1602" s="199">
        <v>1601</v>
      </c>
      <c r="B1602" s="199" t="s">
        <v>4916</v>
      </c>
      <c r="C1602" s="199" t="s">
        <v>34</v>
      </c>
      <c r="D1602" s="199" t="s">
        <v>35</v>
      </c>
      <c r="E1602" s="199">
        <v>50</v>
      </c>
      <c r="F1602" s="199" t="s">
        <v>8</v>
      </c>
      <c r="G1602" s="199" t="s">
        <v>4755</v>
      </c>
      <c r="H1602" s="200">
        <v>591.5</v>
      </c>
      <c r="I1602" s="199" t="s">
        <v>20</v>
      </c>
      <c r="J1602" s="199" t="s">
        <v>415</v>
      </c>
      <c r="K1602" s="201">
        <v>45414</v>
      </c>
      <c r="L1602" s="199" t="s">
        <v>3319</v>
      </c>
      <c r="M1602" s="199" t="s">
        <v>3320</v>
      </c>
    </row>
    <row r="1603" spans="1:13" ht="142.5">
      <c r="A1603" s="199">
        <v>1602</v>
      </c>
      <c r="B1603" s="199" t="s">
        <v>4917</v>
      </c>
      <c r="C1603" s="199" t="s">
        <v>34</v>
      </c>
      <c r="D1603" s="199" t="s">
        <v>35</v>
      </c>
      <c r="E1603" s="199">
        <v>50</v>
      </c>
      <c r="F1603" s="199" t="s">
        <v>3846</v>
      </c>
      <c r="G1603" s="199" t="s">
        <v>4755</v>
      </c>
      <c r="H1603" s="200">
        <v>5695</v>
      </c>
      <c r="I1603" s="199" t="s">
        <v>20</v>
      </c>
      <c r="J1603" s="199" t="s">
        <v>415</v>
      </c>
      <c r="K1603" s="201">
        <v>45414</v>
      </c>
      <c r="L1603" s="199" t="s">
        <v>3319</v>
      </c>
      <c r="M1603" s="199" t="s">
        <v>3320</v>
      </c>
    </row>
    <row r="1604" spans="1:13" ht="85.5">
      <c r="A1604" s="199">
        <v>1603</v>
      </c>
      <c r="B1604" s="199" t="s">
        <v>4918</v>
      </c>
      <c r="C1604" s="199" t="s">
        <v>34</v>
      </c>
      <c r="D1604" s="199" t="s">
        <v>35</v>
      </c>
      <c r="E1604" s="199">
        <v>30</v>
      </c>
      <c r="F1604" s="199" t="s">
        <v>591</v>
      </c>
      <c r="G1604" s="199" t="s">
        <v>4755</v>
      </c>
      <c r="H1604" s="200">
        <v>1175.0999999999999</v>
      </c>
      <c r="I1604" s="199" t="s">
        <v>20</v>
      </c>
      <c r="J1604" s="199" t="s">
        <v>415</v>
      </c>
      <c r="K1604" s="201">
        <v>45414</v>
      </c>
      <c r="L1604" s="199" t="s">
        <v>3319</v>
      </c>
      <c r="M1604" s="199" t="s">
        <v>3320</v>
      </c>
    </row>
    <row r="1605" spans="1:13" ht="85.5">
      <c r="A1605" s="199">
        <v>1604</v>
      </c>
      <c r="B1605" s="199" t="s">
        <v>4919</v>
      </c>
      <c r="C1605" s="199" t="s">
        <v>34</v>
      </c>
      <c r="D1605" s="199" t="s">
        <v>35</v>
      </c>
      <c r="E1605" s="199">
        <v>10</v>
      </c>
      <c r="F1605" s="199" t="s">
        <v>8</v>
      </c>
      <c r="G1605" s="199" t="s">
        <v>4755</v>
      </c>
      <c r="H1605" s="200">
        <v>358.7</v>
      </c>
      <c r="I1605" s="199" t="s">
        <v>20</v>
      </c>
      <c r="J1605" s="199" t="s">
        <v>415</v>
      </c>
      <c r="K1605" s="201">
        <v>45414</v>
      </c>
      <c r="L1605" s="199" t="s">
        <v>3319</v>
      </c>
      <c r="M1605" s="199" t="s">
        <v>3320</v>
      </c>
    </row>
    <row r="1606" spans="1:13" ht="85.5">
      <c r="A1606" s="199">
        <v>1605</v>
      </c>
      <c r="B1606" s="199" t="s">
        <v>4920</v>
      </c>
      <c r="C1606" s="199" t="s">
        <v>34</v>
      </c>
      <c r="D1606" s="199" t="s">
        <v>35</v>
      </c>
      <c r="E1606" s="199">
        <v>120</v>
      </c>
      <c r="F1606" s="199" t="s">
        <v>8</v>
      </c>
      <c r="G1606" s="199" t="s">
        <v>4755</v>
      </c>
      <c r="H1606" s="200">
        <v>7393.2</v>
      </c>
      <c r="I1606" s="199" t="s">
        <v>20</v>
      </c>
      <c r="J1606" s="199" t="s">
        <v>415</v>
      </c>
      <c r="K1606" s="201">
        <v>45414</v>
      </c>
      <c r="L1606" s="199" t="s">
        <v>3319</v>
      </c>
      <c r="M1606" s="199" t="s">
        <v>3320</v>
      </c>
    </row>
    <row r="1607" spans="1:13" ht="85.5">
      <c r="A1607" s="199">
        <v>1606</v>
      </c>
      <c r="B1607" s="199" t="s">
        <v>4921</v>
      </c>
      <c r="C1607" s="199" t="s">
        <v>34</v>
      </c>
      <c r="D1607" s="199" t="s">
        <v>35</v>
      </c>
      <c r="E1607" s="199">
        <v>150</v>
      </c>
      <c r="F1607" s="199" t="s">
        <v>8</v>
      </c>
      <c r="G1607" s="199" t="s">
        <v>4755</v>
      </c>
      <c r="H1607" s="200">
        <v>9049.5</v>
      </c>
      <c r="I1607" s="199" t="s">
        <v>20</v>
      </c>
      <c r="J1607" s="199" t="s">
        <v>415</v>
      </c>
      <c r="K1607" s="201">
        <v>45414</v>
      </c>
      <c r="L1607" s="199" t="s">
        <v>3319</v>
      </c>
      <c r="M1607" s="199" t="s">
        <v>3320</v>
      </c>
    </row>
    <row r="1608" spans="1:13" ht="85.5">
      <c r="A1608" s="199">
        <v>1607</v>
      </c>
      <c r="B1608" s="199" t="s">
        <v>4922</v>
      </c>
      <c r="C1608" s="199" t="s">
        <v>34</v>
      </c>
      <c r="D1608" s="199" t="s">
        <v>35</v>
      </c>
      <c r="E1608" s="199">
        <v>200</v>
      </c>
      <c r="F1608" s="199" t="s">
        <v>8</v>
      </c>
      <c r="G1608" s="199" t="s">
        <v>4755</v>
      </c>
      <c r="H1608" s="200">
        <v>12284</v>
      </c>
      <c r="I1608" s="199" t="s">
        <v>20</v>
      </c>
      <c r="J1608" s="199" t="s">
        <v>415</v>
      </c>
      <c r="K1608" s="201">
        <v>45414</v>
      </c>
      <c r="L1608" s="199" t="s">
        <v>3319</v>
      </c>
      <c r="M1608" s="199" t="s">
        <v>3320</v>
      </c>
    </row>
    <row r="1609" spans="1:13" ht="85.5">
      <c r="A1609" s="199">
        <v>1608</v>
      </c>
      <c r="B1609" s="199" t="s">
        <v>4923</v>
      </c>
      <c r="C1609" s="199" t="s">
        <v>34</v>
      </c>
      <c r="D1609" s="199" t="s">
        <v>35</v>
      </c>
      <c r="E1609" s="199">
        <v>200</v>
      </c>
      <c r="F1609" s="199" t="s">
        <v>8</v>
      </c>
      <c r="G1609" s="199" t="s">
        <v>4755</v>
      </c>
      <c r="H1609" s="200">
        <v>12322</v>
      </c>
      <c r="I1609" s="199" t="s">
        <v>20</v>
      </c>
      <c r="J1609" s="199" t="s">
        <v>415</v>
      </c>
      <c r="K1609" s="201">
        <v>45414</v>
      </c>
      <c r="L1609" s="199" t="s">
        <v>3319</v>
      </c>
      <c r="M1609" s="199" t="s">
        <v>3320</v>
      </c>
    </row>
    <row r="1610" spans="1:13" ht="99.75">
      <c r="A1610" s="199">
        <v>1609</v>
      </c>
      <c r="B1610" s="199" t="s">
        <v>4924</v>
      </c>
      <c r="C1610" s="199" t="s">
        <v>34</v>
      </c>
      <c r="D1610" s="199" t="s">
        <v>35</v>
      </c>
      <c r="E1610" s="199">
        <v>50</v>
      </c>
      <c r="F1610" s="199" t="s">
        <v>8</v>
      </c>
      <c r="G1610" s="199" t="s">
        <v>4755</v>
      </c>
      <c r="H1610" s="200">
        <v>4619.5</v>
      </c>
      <c r="I1610" s="199" t="s">
        <v>20</v>
      </c>
      <c r="J1610" s="199" t="s">
        <v>415</v>
      </c>
      <c r="K1610" s="201">
        <v>45414</v>
      </c>
      <c r="L1610" s="199" t="s">
        <v>3319</v>
      </c>
      <c r="M1610" s="199" t="s">
        <v>3320</v>
      </c>
    </row>
    <row r="1611" spans="1:13" ht="242.25">
      <c r="A1611" s="199">
        <v>1610</v>
      </c>
      <c r="B1611" s="199" t="s">
        <v>4925</v>
      </c>
      <c r="C1611" s="199" t="s">
        <v>34</v>
      </c>
      <c r="D1611" s="199" t="s">
        <v>35</v>
      </c>
      <c r="E1611" s="199">
        <v>50</v>
      </c>
      <c r="F1611" s="199" t="s">
        <v>8</v>
      </c>
      <c r="G1611" s="199" t="s">
        <v>4755</v>
      </c>
      <c r="H1611" s="200">
        <v>3071</v>
      </c>
      <c r="I1611" s="199" t="s">
        <v>20</v>
      </c>
      <c r="J1611" s="199" t="s">
        <v>415</v>
      </c>
      <c r="K1611" s="201">
        <v>45414</v>
      </c>
      <c r="L1611" s="199" t="s">
        <v>3319</v>
      </c>
      <c r="M1611" s="199" t="s">
        <v>3320</v>
      </c>
    </row>
    <row r="1612" spans="1:13" ht="242.25">
      <c r="A1612" s="199">
        <v>1611</v>
      </c>
      <c r="B1612" s="199" t="s">
        <v>4926</v>
      </c>
      <c r="C1612" s="199" t="s">
        <v>34</v>
      </c>
      <c r="D1612" s="199" t="s">
        <v>35</v>
      </c>
      <c r="E1612" s="199">
        <v>50</v>
      </c>
      <c r="F1612" s="199" t="s">
        <v>8</v>
      </c>
      <c r="G1612" s="199" t="s">
        <v>4755</v>
      </c>
      <c r="H1612" s="200">
        <v>3080.5</v>
      </c>
      <c r="I1612" s="199" t="s">
        <v>20</v>
      </c>
      <c r="J1612" s="199" t="s">
        <v>415</v>
      </c>
      <c r="K1612" s="201">
        <v>45414</v>
      </c>
      <c r="L1612" s="199" t="s">
        <v>3319</v>
      </c>
      <c r="M1612" s="199" t="s">
        <v>3320</v>
      </c>
    </row>
    <row r="1613" spans="1:13" ht="242.25">
      <c r="A1613" s="199">
        <v>1612</v>
      </c>
      <c r="B1613" s="199" t="s">
        <v>4927</v>
      </c>
      <c r="C1613" s="199" t="s">
        <v>34</v>
      </c>
      <c r="D1613" s="199" t="s">
        <v>35</v>
      </c>
      <c r="E1613" s="199">
        <v>50</v>
      </c>
      <c r="F1613" s="199" t="s">
        <v>8</v>
      </c>
      <c r="G1613" s="199" t="s">
        <v>4755</v>
      </c>
      <c r="H1613" s="200">
        <v>3016.5</v>
      </c>
      <c r="I1613" s="199" t="s">
        <v>20</v>
      </c>
      <c r="J1613" s="199" t="s">
        <v>415</v>
      </c>
      <c r="K1613" s="201">
        <v>45414</v>
      </c>
      <c r="L1613" s="199" t="s">
        <v>3319</v>
      </c>
      <c r="M1613" s="199" t="s">
        <v>3320</v>
      </c>
    </row>
    <row r="1614" spans="1:13" ht="242.25">
      <c r="A1614" s="199">
        <v>1613</v>
      </c>
      <c r="B1614" s="199" t="s">
        <v>4928</v>
      </c>
      <c r="C1614" s="199" t="s">
        <v>34</v>
      </c>
      <c r="D1614" s="199" t="s">
        <v>35</v>
      </c>
      <c r="E1614" s="199">
        <v>50</v>
      </c>
      <c r="F1614" s="199" t="s">
        <v>8</v>
      </c>
      <c r="G1614" s="199" t="s">
        <v>4755</v>
      </c>
      <c r="H1614" s="200">
        <v>3071</v>
      </c>
      <c r="I1614" s="199" t="s">
        <v>20</v>
      </c>
      <c r="J1614" s="199" t="s">
        <v>415</v>
      </c>
      <c r="K1614" s="201">
        <v>45414</v>
      </c>
      <c r="L1614" s="199" t="s">
        <v>3319</v>
      </c>
      <c r="M1614" s="199" t="s">
        <v>3320</v>
      </c>
    </row>
    <row r="1615" spans="1:13" ht="85.5">
      <c r="A1615" s="199">
        <v>1614</v>
      </c>
      <c r="B1615" s="199" t="s">
        <v>4929</v>
      </c>
      <c r="C1615" s="199" t="s">
        <v>34</v>
      </c>
      <c r="D1615" s="199" t="s">
        <v>35</v>
      </c>
      <c r="E1615" s="199">
        <v>1500</v>
      </c>
      <c r="F1615" s="199" t="s">
        <v>591</v>
      </c>
      <c r="G1615" s="199" t="s">
        <v>4755</v>
      </c>
      <c r="H1615" s="200">
        <v>7830</v>
      </c>
      <c r="I1615" s="199" t="s">
        <v>20</v>
      </c>
      <c r="J1615" s="199" t="s">
        <v>415</v>
      </c>
      <c r="K1615" s="201">
        <v>45414</v>
      </c>
      <c r="L1615" s="199" t="s">
        <v>3319</v>
      </c>
      <c r="M1615" s="199" t="s">
        <v>3320</v>
      </c>
    </row>
    <row r="1616" spans="1:13" ht="185.25">
      <c r="A1616" s="199">
        <v>1615</v>
      </c>
      <c r="B1616" s="199" t="s">
        <v>4930</v>
      </c>
      <c r="C1616" s="199" t="s">
        <v>34</v>
      </c>
      <c r="D1616" s="199" t="s">
        <v>35</v>
      </c>
      <c r="E1616" s="199">
        <v>30</v>
      </c>
      <c r="F1616" s="199" t="s">
        <v>679</v>
      </c>
      <c r="G1616" s="199" t="s">
        <v>4755</v>
      </c>
      <c r="H1616" s="200">
        <v>976.2</v>
      </c>
      <c r="I1616" s="199" t="s">
        <v>20</v>
      </c>
      <c r="J1616" s="199" t="s">
        <v>415</v>
      </c>
      <c r="K1616" s="201">
        <v>45414</v>
      </c>
      <c r="L1616" s="199" t="s">
        <v>3319</v>
      </c>
      <c r="M1616" s="199" t="s">
        <v>3320</v>
      </c>
    </row>
    <row r="1617" spans="1:13" ht="99.75">
      <c r="A1617" s="199">
        <v>1616</v>
      </c>
      <c r="B1617" s="199" t="s">
        <v>4931</v>
      </c>
      <c r="C1617" s="199" t="s">
        <v>34</v>
      </c>
      <c r="D1617" s="199" t="s">
        <v>35</v>
      </c>
      <c r="E1617" s="199">
        <v>150</v>
      </c>
      <c r="F1617" s="199" t="s">
        <v>3846</v>
      </c>
      <c r="G1617" s="199" t="s">
        <v>4755</v>
      </c>
      <c r="H1617" s="200">
        <v>22713</v>
      </c>
      <c r="I1617" s="199" t="s">
        <v>20</v>
      </c>
      <c r="J1617" s="199" t="s">
        <v>415</v>
      </c>
      <c r="K1617" s="201">
        <v>45414</v>
      </c>
      <c r="L1617" s="199" t="s">
        <v>3319</v>
      </c>
      <c r="M1617" s="199" t="s">
        <v>3320</v>
      </c>
    </row>
    <row r="1618" spans="1:13" ht="99.75">
      <c r="A1618" s="199">
        <v>1617</v>
      </c>
      <c r="B1618" s="199" t="s">
        <v>4932</v>
      </c>
      <c r="C1618" s="199" t="s">
        <v>34</v>
      </c>
      <c r="D1618" s="199" t="s">
        <v>35</v>
      </c>
      <c r="E1618" s="199">
        <v>1500</v>
      </c>
      <c r="F1618" s="199" t="s">
        <v>591</v>
      </c>
      <c r="G1618" s="199" t="s">
        <v>4755</v>
      </c>
      <c r="H1618" s="200">
        <v>23130</v>
      </c>
      <c r="I1618" s="199" t="s">
        <v>20</v>
      </c>
      <c r="J1618" s="199" t="s">
        <v>415</v>
      </c>
      <c r="K1618" s="201">
        <v>45414</v>
      </c>
      <c r="L1618" s="199" t="s">
        <v>3319</v>
      </c>
      <c r="M1618" s="199" t="s">
        <v>3320</v>
      </c>
    </row>
    <row r="1619" spans="1:13" ht="85.5">
      <c r="A1619" s="199">
        <v>1618</v>
      </c>
      <c r="B1619" s="199" t="s">
        <v>4933</v>
      </c>
      <c r="C1619" s="199" t="s">
        <v>34</v>
      </c>
      <c r="D1619" s="199" t="s">
        <v>35</v>
      </c>
      <c r="E1619" s="199">
        <v>200</v>
      </c>
      <c r="F1619" s="199" t="s">
        <v>8</v>
      </c>
      <c r="G1619" s="199" t="s">
        <v>4755</v>
      </c>
      <c r="H1619" s="200">
        <v>558</v>
      </c>
      <c r="I1619" s="199" t="s">
        <v>20</v>
      </c>
      <c r="J1619" s="199" t="s">
        <v>415</v>
      </c>
      <c r="K1619" s="201">
        <v>45414</v>
      </c>
      <c r="L1619" s="199" t="s">
        <v>3319</v>
      </c>
      <c r="M1619" s="199" t="s">
        <v>3320</v>
      </c>
    </row>
    <row r="1620" spans="1:13" ht="142.5">
      <c r="A1620" s="199">
        <v>1619</v>
      </c>
      <c r="B1620" s="199" t="s">
        <v>4934</v>
      </c>
      <c r="C1620" s="199" t="s">
        <v>34</v>
      </c>
      <c r="D1620" s="199" t="s">
        <v>35</v>
      </c>
      <c r="E1620" s="199">
        <v>100</v>
      </c>
      <c r="F1620" s="199" t="s">
        <v>591</v>
      </c>
      <c r="G1620" s="199" t="s">
        <v>4755</v>
      </c>
      <c r="H1620" s="200">
        <v>1183</v>
      </c>
      <c r="I1620" s="199" t="s">
        <v>20</v>
      </c>
      <c r="J1620" s="199" t="s">
        <v>415</v>
      </c>
      <c r="K1620" s="201">
        <v>45414</v>
      </c>
      <c r="L1620" s="199" t="s">
        <v>3319</v>
      </c>
      <c r="M1620" s="199" t="s">
        <v>3320</v>
      </c>
    </row>
    <row r="1621" spans="1:13" ht="85.5">
      <c r="A1621" s="199">
        <v>1620</v>
      </c>
      <c r="B1621" s="199" t="s">
        <v>4935</v>
      </c>
      <c r="C1621" s="199" t="s">
        <v>34</v>
      </c>
      <c r="D1621" s="199" t="s">
        <v>35</v>
      </c>
      <c r="E1621" s="199">
        <v>100</v>
      </c>
      <c r="F1621" s="199" t="s">
        <v>591</v>
      </c>
      <c r="G1621" s="199" t="s">
        <v>4755</v>
      </c>
      <c r="H1621" s="200">
        <v>1187</v>
      </c>
      <c r="I1621" s="199" t="s">
        <v>20</v>
      </c>
      <c r="J1621" s="199" t="s">
        <v>415</v>
      </c>
      <c r="K1621" s="201">
        <v>45414</v>
      </c>
      <c r="L1621" s="199" t="s">
        <v>3319</v>
      </c>
      <c r="M1621" s="199" t="s">
        <v>3320</v>
      </c>
    </row>
    <row r="1622" spans="1:13" ht="85.5">
      <c r="A1622" s="199">
        <v>1621</v>
      </c>
      <c r="B1622" s="199" t="s">
        <v>4936</v>
      </c>
      <c r="C1622" s="199" t="s">
        <v>34</v>
      </c>
      <c r="D1622" s="199" t="s">
        <v>35</v>
      </c>
      <c r="E1622" s="199">
        <v>10</v>
      </c>
      <c r="F1622" s="199" t="s">
        <v>8</v>
      </c>
      <c r="G1622" s="199" t="s">
        <v>4755</v>
      </c>
      <c r="H1622" s="200">
        <v>1394.4</v>
      </c>
      <c r="I1622" s="199" t="s">
        <v>20</v>
      </c>
      <c r="J1622" s="199" t="s">
        <v>415</v>
      </c>
      <c r="K1622" s="201">
        <v>45414</v>
      </c>
      <c r="L1622" s="199" t="s">
        <v>3319</v>
      </c>
      <c r="M1622" s="199" t="s">
        <v>3320</v>
      </c>
    </row>
    <row r="1623" spans="1:13" ht="85.5">
      <c r="A1623" s="199">
        <v>1622</v>
      </c>
      <c r="B1623" s="199" t="s">
        <v>4937</v>
      </c>
      <c r="C1623" s="199" t="s">
        <v>34</v>
      </c>
      <c r="D1623" s="199" t="s">
        <v>35</v>
      </c>
      <c r="E1623" s="199">
        <v>1000</v>
      </c>
      <c r="F1623" s="199" t="s">
        <v>8</v>
      </c>
      <c r="G1623" s="199" t="s">
        <v>4755</v>
      </c>
      <c r="H1623" s="200">
        <v>52210</v>
      </c>
      <c r="I1623" s="199" t="s">
        <v>20</v>
      </c>
      <c r="J1623" s="199" t="s">
        <v>415</v>
      </c>
      <c r="K1623" s="201">
        <v>45414</v>
      </c>
      <c r="L1623" s="199" t="s">
        <v>3319</v>
      </c>
      <c r="M1623" s="199" t="s">
        <v>3320</v>
      </c>
    </row>
    <row r="1624" spans="1:13" ht="99.75">
      <c r="A1624" s="199">
        <v>1623</v>
      </c>
      <c r="B1624" s="199" t="s">
        <v>4938</v>
      </c>
      <c r="C1624" s="199" t="s">
        <v>34</v>
      </c>
      <c r="D1624" s="199" t="s">
        <v>35</v>
      </c>
      <c r="E1624" s="199">
        <v>25</v>
      </c>
      <c r="F1624" s="199" t="s">
        <v>8</v>
      </c>
      <c r="G1624" s="199" t="s">
        <v>4755</v>
      </c>
      <c r="H1624" s="200">
        <v>3486</v>
      </c>
      <c r="I1624" s="199" t="s">
        <v>20</v>
      </c>
      <c r="J1624" s="199" t="s">
        <v>415</v>
      </c>
      <c r="K1624" s="201">
        <v>45414</v>
      </c>
      <c r="L1624" s="199" t="s">
        <v>3319</v>
      </c>
      <c r="M1624" s="199" t="s">
        <v>3320</v>
      </c>
    </row>
    <row r="1625" spans="1:13" ht="85.5">
      <c r="A1625" s="199">
        <v>1624</v>
      </c>
      <c r="B1625" s="199" t="s">
        <v>4939</v>
      </c>
      <c r="C1625" s="199" t="s">
        <v>34</v>
      </c>
      <c r="D1625" s="199" t="s">
        <v>35</v>
      </c>
      <c r="E1625" s="199">
        <v>10</v>
      </c>
      <c r="F1625" s="199" t="s">
        <v>8</v>
      </c>
      <c r="G1625" s="199" t="s">
        <v>4755</v>
      </c>
      <c r="H1625" s="200">
        <v>161.6</v>
      </c>
      <c r="I1625" s="199" t="s">
        <v>20</v>
      </c>
      <c r="J1625" s="199" t="s">
        <v>415</v>
      </c>
      <c r="K1625" s="201">
        <v>45414</v>
      </c>
      <c r="L1625" s="199" t="s">
        <v>3319</v>
      </c>
      <c r="M1625" s="199" t="s">
        <v>3320</v>
      </c>
    </row>
    <row r="1626" spans="1:13" ht="85.5">
      <c r="A1626" s="199">
        <v>1625</v>
      </c>
      <c r="B1626" s="199" t="s">
        <v>4940</v>
      </c>
      <c r="C1626" s="199" t="s">
        <v>34</v>
      </c>
      <c r="D1626" s="199" t="s">
        <v>35</v>
      </c>
      <c r="E1626" s="199">
        <v>12</v>
      </c>
      <c r="F1626" s="199" t="s">
        <v>8</v>
      </c>
      <c r="G1626" s="199" t="s">
        <v>4755</v>
      </c>
      <c r="H1626" s="200">
        <v>233.88</v>
      </c>
      <c r="I1626" s="199" t="s">
        <v>20</v>
      </c>
      <c r="J1626" s="199" t="s">
        <v>415</v>
      </c>
      <c r="K1626" s="201">
        <v>45414</v>
      </c>
      <c r="L1626" s="199" t="s">
        <v>3319</v>
      </c>
      <c r="M1626" s="199" t="s">
        <v>3320</v>
      </c>
    </row>
    <row r="1627" spans="1:13" ht="85.5">
      <c r="A1627" s="199">
        <v>1626</v>
      </c>
      <c r="B1627" s="199" t="s">
        <v>4941</v>
      </c>
      <c r="C1627" s="199" t="s">
        <v>34</v>
      </c>
      <c r="D1627" s="199" t="s">
        <v>35</v>
      </c>
      <c r="E1627" s="199">
        <v>80</v>
      </c>
      <c r="F1627" s="199" t="s">
        <v>8</v>
      </c>
      <c r="G1627" s="199" t="s">
        <v>4755</v>
      </c>
      <c r="H1627" s="200">
        <v>3416.8</v>
      </c>
      <c r="I1627" s="199" t="s">
        <v>20</v>
      </c>
      <c r="J1627" s="199" t="s">
        <v>415</v>
      </c>
      <c r="K1627" s="201">
        <v>45414</v>
      </c>
      <c r="L1627" s="199" t="s">
        <v>3319</v>
      </c>
      <c r="M1627" s="199" t="s">
        <v>3320</v>
      </c>
    </row>
    <row r="1628" spans="1:13" ht="85.5">
      <c r="A1628" s="199">
        <v>1627</v>
      </c>
      <c r="B1628" s="199" t="s">
        <v>4942</v>
      </c>
      <c r="C1628" s="199" t="s">
        <v>34</v>
      </c>
      <c r="D1628" s="199" t="s">
        <v>35</v>
      </c>
      <c r="E1628" s="199">
        <v>8</v>
      </c>
      <c r="F1628" s="199" t="s">
        <v>3846</v>
      </c>
      <c r="G1628" s="199" t="s">
        <v>4755</v>
      </c>
      <c r="H1628" s="200">
        <v>725.12</v>
      </c>
      <c r="I1628" s="199" t="s">
        <v>20</v>
      </c>
      <c r="J1628" s="199" t="s">
        <v>415</v>
      </c>
      <c r="K1628" s="201">
        <v>45414</v>
      </c>
      <c r="L1628" s="199" t="s">
        <v>3319</v>
      </c>
      <c r="M1628" s="199" t="s">
        <v>3320</v>
      </c>
    </row>
    <row r="1629" spans="1:13" ht="85.5">
      <c r="A1629" s="199">
        <v>1628</v>
      </c>
      <c r="B1629" s="199" t="s">
        <v>4943</v>
      </c>
      <c r="C1629" s="199" t="s">
        <v>34</v>
      </c>
      <c r="D1629" s="199" t="s">
        <v>35</v>
      </c>
      <c r="E1629" s="199">
        <v>8</v>
      </c>
      <c r="F1629" s="199" t="s">
        <v>3846</v>
      </c>
      <c r="G1629" s="199" t="s">
        <v>4755</v>
      </c>
      <c r="H1629" s="200">
        <v>738.16</v>
      </c>
      <c r="I1629" s="199" t="s">
        <v>20</v>
      </c>
      <c r="J1629" s="199" t="s">
        <v>415</v>
      </c>
      <c r="K1629" s="201">
        <v>45414</v>
      </c>
      <c r="L1629" s="199" t="s">
        <v>3319</v>
      </c>
      <c r="M1629" s="199" t="s">
        <v>3320</v>
      </c>
    </row>
    <row r="1630" spans="1:13" ht="85.5">
      <c r="A1630" s="199">
        <v>1629</v>
      </c>
      <c r="B1630" s="199" t="s">
        <v>4944</v>
      </c>
      <c r="C1630" s="199" t="s">
        <v>34</v>
      </c>
      <c r="D1630" s="199" t="s">
        <v>35</v>
      </c>
      <c r="E1630" s="199">
        <v>8</v>
      </c>
      <c r="F1630" s="199" t="s">
        <v>3846</v>
      </c>
      <c r="G1630" s="199" t="s">
        <v>4755</v>
      </c>
      <c r="H1630" s="200">
        <v>740.4</v>
      </c>
      <c r="I1630" s="199" t="s">
        <v>20</v>
      </c>
      <c r="J1630" s="199" t="s">
        <v>415</v>
      </c>
      <c r="K1630" s="201">
        <v>45414</v>
      </c>
      <c r="L1630" s="199" t="s">
        <v>3319</v>
      </c>
      <c r="M1630" s="199" t="s">
        <v>3320</v>
      </c>
    </row>
    <row r="1631" spans="1:13" ht="99.75">
      <c r="A1631" s="199">
        <v>1630</v>
      </c>
      <c r="B1631" s="199" t="s">
        <v>4945</v>
      </c>
      <c r="C1631" s="199" t="s">
        <v>34</v>
      </c>
      <c r="D1631" s="199" t="s">
        <v>35</v>
      </c>
      <c r="E1631" s="199">
        <v>10</v>
      </c>
      <c r="F1631" s="199" t="s">
        <v>4786</v>
      </c>
      <c r="G1631" s="199" t="s">
        <v>4755</v>
      </c>
      <c r="H1631" s="200">
        <v>604.20000000000005</v>
      </c>
      <c r="I1631" s="199" t="s">
        <v>20</v>
      </c>
      <c r="J1631" s="199" t="s">
        <v>415</v>
      </c>
      <c r="K1631" s="201">
        <v>45414</v>
      </c>
      <c r="L1631" s="199" t="s">
        <v>3319</v>
      </c>
      <c r="M1631" s="199" t="s">
        <v>3320</v>
      </c>
    </row>
    <row r="1632" spans="1:13" ht="185.25">
      <c r="A1632" s="199">
        <v>1631</v>
      </c>
      <c r="B1632" s="199" t="s">
        <v>4946</v>
      </c>
      <c r="C1632" s="199" t="s">
        <v>34</v>
      </c>
      <c r="D1632" s="199" t="s">
        <v>35</v>
      </c>
      <c r="E1632" s="199">
        <v>5</v>
      </c>
      <c r="F1632" s="199" t="s">
        <v>8</v>
      </c>
      <c r="G1632" s="199" t="s">
        <v>4755</v>
      </c>
      <c r="H1632" s="200">
        <v>828.1</v>
      </c>
      <c r="I1632" s="199" t="s">
        <v>20</v>
      </c>
      <c r="J1632" s="199" t="s">
        <v>415</v>
      </c>
      <c r="K1632" s="201">
        <v>45414</v>
      </c>
      <c r="L1632" s="199" t="s">
        <v>3319</v>
      </c>
      <c r="M1632" s="199" t="s">
        <v>3320</v>
      </c>
    </row>
    <row r="1633" spans="1:13" ht="199.5">
      <c r="A1633" s="199">
        <v>1632</v>
      </c>
      <c r="B1633" s="199" t="s">
        <v>4947</v>
      </c>
      <c r="C1633" s="199" t="s">
        <v>34</v>
      </c>
      <c r="D1633" s="199" t="s">
        <v>35</v>
      </c>
      <c r="E1633" s="199">
        <v>10</v>
      </c>
      <c r="F1633" s="199" t="s">
        <v>679</v>
      </c>
      <c r="G1633" s="199" t="s">
        <v>4755</v>
      </c>
      <c r="H1633" s="200">
        <v>3322.2</v>
      </c>
      <c r="I1633" s="199" t="s">
        <v>20</v>
      </c>
      <c r="J1633" s="199" t="s">
        <v>415</v>
      </c>
      <c r="K1633" s="201">
        <v>45414</v>
      </c>
      <c r="L1633" s="199" t="s">
        <v>3319</v>
      </c>
      <c r="M1633" s="199" t="s">
        <v>3320</v>
      </c>
    </row>
    <row r="1634" spans="1:13" ht="99.75">
      <c r="A1634" s="199">
        <v>1633</v>
      </c>
      <c r="B1634" s="199" t="s">
        <v>4948</v>
      </c>
      <c r="C1634" s="199" t="s">
        <v>34</v>
      </c>
      <c r="D1634" s="199" t="s">
        <v>35</v>
      </c>
      <c r="E1634" s="199">
        <v>100</v>
      </c>
      <c r="F1634" s="199" t="s">
        <v>2378</v>
      </c>
      <c r="G1634" s="199" t="s">
        <v>4755</v>
      </c>
      <c r="H1634" s="200">
        <v>5113</v>
      </c>
      <c r="I1634" s="199" t="s">
        <v>20</v>
      </c>
      <c r="J1634" s="199" t="s">
        <v>415</v>
      </c>
      <c r="K1634" s="201">
        <v>45414</v>
      </c>
      <c r="L1634" s="199" t="s">
        <v>3319</v>
      </c>
      <c r="M1634" s="199" t="s">
        <v>3320</v>
      </c>
    </row>
    <row r="1635" spans="1:13" ht="85.5">
      <c r="A1635" s="199">
        <v>1634</v>
      </c>
      <c r="B1635" s="199" t="s">
        <v>4949</v>
      </c>
      <c r="C1635" s="199" t="s">
        <v>34</v>
      </c>
      <c r="D1635" s="199" t="s">
        <v>35</v>
      </c>
      <c r="E1635" s="199">
        <v>100</v>
      </c>
      <c r="F1635" s="199" t="s">
        <v>2378</v>
      </c>
      <c r="G1635" s="199" t="s">
        <v>4755</v>
      </c>
      <c r="H1635" s="200">
        <v>5113</v>
      </c>
      <c r="I1635" s="199" t="s">
        <v>20</v>
      </c>
      <c r="J1635" s="199" t="s">
        <v>415</v>
      </c>
      <c r="K1635" s="201">
        <v>45414</v>
      </c>
      <c r="L1635" s="199" t="s">
        <v>3319</v>
      </c>
      <c r="M1635" s="199" t="s">
        <v>3320</v>
      </c>
    </row>
    <row r="1636" spans="1:13" ht="85.5">
      <c r="A1636" s="199">
        <v>1635</v>
      </c>
      <c r="B1636" s="199" t="s">
        <v>4950</v>
      </c>
      <c r="C1636" s="199" t="s">
        <v>34</v>
      </c>
      <c r="D1636" s="199" t="s">
        <v>35</v>
      </c>
      <c r="E1636" s="199">
        <v>60</v>
      </c>
      <c r="F1636" s="199" t="s">
        <v>8</v>
      </c>
      <c r="G1636" s="199" t="s">
        <v>4755</v>
      </c>
      <c r="H1636" s="200">
        <v>712.2</v>
      </c>
      <c r="I1636" s="199" t="s">
        <v>20</v>
      </c>
      <c r="J1636" s="199" t="s">
        <v>415</v>
      </c>
      <c r="K1636" s="201">
        <v>45414</v>
      </c>
      <c r="L1636" s="199" t="s">
        <v>3319</v>
      </c>
      <c r="M1636" s="199" t="s">
        <v>3320</v>
      </c>
    </row>
    <row r="1637" spans="1:13" ht="128.25">
      <c r="A1637" s="199">
        <v>1636</v>
      </c>
      <c r="B1637" s="199" t="s">
        <v>4951</v>
      </c>
      <c r="C1637" s="199" t="s">
        <v>34</v>
      </c>
      <c r="D1637" s="199" t="s">
        <v>35</v>
      </c>
      <c r="E1637" s="199">
        <v>4</v>
      </c>
      <c r="F1637" s="199" t="s">
        <v>3846</v>
      </c>
      <c r="G1637" s="199" t="s">
        <v>4755</v>
      </c>
      <c r="H1637" s="200">
        <v>929.6</v>
      </c>
      <c r="I1637" s="199" t="s">
        <v>20</v>
      </c>
      <c r="J1637" s="199" t="s">
        <v>415</v>
      </c>
      <c r="K1637" s="201">
        <v>45414</v>
      </c>
      <c r="L1637" s="199" t="s">
        <v>3319</v>
      </c>
      <c r="M1637" s="199" t="s">
        <v>3320</v>
      </c>
    </row>
    <row r="1638" spans="1:13" ht="128.25">
      <c r="A1638" s="199">
        <v>1637</v>
      </c>
      <c r="B1638" s="199" t="s">
        <v>4952</v>
      </c>
      <c r="C1638" s="199" t="s">
        <v>34</v>
      </c>
      <c r="D1638" s="199" t="s">
        <v>35</v>
      </c>
      <c r="E1638" s="199">
        <v>4</v>
      </c>
      <c r="F1638" s="199" t="s">
        <v>3846</v>
      </c>
      <c r="G1638" s="199" t="s">
        <v>4755</v>
      </c>
      <c r="H1638" s="200">
        <v>946.4</v>
      </c>
      <c r="I1638" s="199" t="s">
        <v>20</v>
      </c>
      <c r="J1638" s="199" t="s">
        <v>415</v>
      </c>
      <c r="K1638" s="201">
        <v>45414</v>
      </c>
      <c r="L1638" s="199" t="s">
        <v>3319</v>
      </c>
      <c r="M1638" s="199" t="s">
        <v>3320</v>
      </c>
    </row>
    <row r="1639" spans="1:13" ht="85.5">
      <c r="A1639" s="199">
        <v>1638</v>
      </c>
      <c r="B1639" s="199" t="s">
        <v>4953</v>
      </c>
      <c r="C1639" s="199" t="s">
        <v>34</v>
      </c>
      <c r="D1639" s="199" t="s">
        <v>35</v>
      </c>
      <c r="E1639" s="199">
        <v>12</v>
      </c>
      <c r="F1639" s="199" t="s">
        <v>8</v>
      </c>
      <c r="G1639" s="199" t="s">
        <v>4755</v>
      </c>
      <c r="H1639" s="200">
        <v>238.68</v>
      </c>
      <c r="I1639" s="199" t="s">
        <v>20</v>
      </c>
      <c r="J1639" s="199" t="s">
        <v>415</v>
      </c>
      <c r="K1639" s="201">
        <v>45414</v>
      </c>
      <c r="L1639" s="199" t="s">
        <v>3319</v>
      </c>
      <c r="M1639" s="199" t="s">
        <v>3320</v>
      </c>
    </row>
    <row r="1640" spans="1:13" ht="114">
      <c r="A1640" s="199">
        <v>1639</v>
      </c>
      <c r="B1640" s="199" t="s">
        <v>4954</v>
      </c>
      <c r="C1640" s="199" t="s">
        <v>34</v>
      </c>
      <c r="D1640" s="199" t="s">
        <v>35</v>
      </c>
      <c r="E1640" s="199">
        <v>20</v>
      </c>
      <c r="F1640" s="199" t="s">
        <v>679</v>
      </c>
      <c r="G1640" s="199" t="s">
        <v>4755</v>
      </c>
      <c r="H1640" s="200">
        <v>1626.8</v>
      </c>
      <c r="I1640" s="199" t="s">
        <v>20</v>
      </c>
      <c r="J1640" s="199" t="s">
        <v>415</v>
      </c>
      <c r="K1640" s="201">
        <v>45414</v>
      </c>
      <c r="L1640" s="199" t="s">
        <v>3319</v>
      </c>
      <c r="M1640" s="199" t="s">
        <v>3320</v>
      </c>
    </row>
    <row r="1641" spans="1:13" ht="114">
      <c r="A1641" s="199">
        <v>1640</v>
      </c>
      <c r="B1641" s="199" t="s">
        <v>4955</v>
      </c>
      <c r="C1641" s="199" t="s">
        <v>34</v>
      </c>
      <c r="D1641" s="199" t="s">
        <v>35</v>
      </c>
      <c r="E1641" s="199">
        <v>60</v>
      </c>
      <c r="F1641" s="199" t="s">
        <v>679</v>
      </c>
      <c r="G1641" s="199" t="s">
        <v>4755</v>
      </c>
      <c r="H1641" s="200">
        <v>4968.6000000000004</v>
      </c>
      <c r="I1641" s="199" t="s">
        <v>20</v>
      </c>
      <c r="J1641" s="199" t="s">
        <v>415</v>
      </c>
      <c r="K1641" s="201">
        <v>45414</v>
      </c>
      <c r="L1641" s="199" t="s">
        <v>3319</v>
      </c>
      <c r="M1641" s="199" t="s">
        <v>3320</v>
      </c>
    </row>
    <row r="1642" spans="1:13" ht="114">
      <c r="A1642" s="199">
        <v>1641</v>
      </c>
      <c r="B1642" s="199" t="s">
        <v>4956</v>
      </c>
      <c r="C1642" s="199" t="s">
        <v>34</v>
      </c>
      <c r="D1642" s="199" t="s">
        <v>35</v>
      </c>
      <c r="E1642" s="199">
        <v>40</v>
      </c>
      <c r="F1642" s="199" t="s">
        <v>679</v>
      </c>
      <c r="G1642" s="199" t="s">
        <v>4755</v>
      </c>
      <c r="H1642" s="200">
        <v>3322.4</v>
      </c>
      <c r="I1642" s="199" t="s">
        <v>20</v>
      </c>
      <c r="J1642" s="199" t="s">
        <v>415</v>
      </c>
      <c r="K1642" s="201">
        <v>45414</v>
      </c>
      <c r="L1642" s="199" t="s">
        <v>3319</v>
      </c>
      <c r="M1642" s="199" t="s">
        <v>3320</v>
      </c>
    </row>
    <row r="1643" spans="1:13" ht="114">
      <c r="A1643" s="199">
        <v>1642</v>
      </c>
      <c r="B1643" s="199" t="s">
        <v>4957</v>
      </c>
      <c r="C1643" s="199" t="s">
        <v>34</v>
      </c>
      <c r="D1643" s="199" t="s">
        <v>35</v>
      </c>
      <c r="E1643" s="199">
        <v>20</v>
      </c>
      <c r="F1643" s="199" t="s">
        <v>679</v>
      </c>
      <c r="G1643" s="199" t="s">
        <v>4755</v>
      </c>
      <c r="H1643" s="200">
        <v>1626.8</v>
      </c>
      <c r="I1643" s="199" t="s">
        <v>20</v>
      </c>
      <c r="J1643" s="199" t="s">
        <v>415</v>
      </c>
      <c r="K1643" s="201">
        <v>45414</v>
      </c>
      <c r="L1643" s="199" t="s">
        <v>3319</v>
      </c>
      <c r="M1643" s="199" t="s">
        <v>3320</v>
      </c>
    </row>
    <row r="1644" spans="1:13" ht="114">
      <c r="A1644" s="199">
        <v>1643</v>
      </c>
      <c r="B1644" s="199" t="s">
        <v>4958</v>
      </c>
      <c r="C1644" s="199" t="s">
        <v>34</v>
      </c>
      <c r="D1644" s="199" t="s">
        <v>35</v>
      </c>
      <c r="E1644" s="199">
        <v>20</v>
      </c>
      <c r="F1644" s="199" t="s">
        <v>679</v>
      </c>
      <c r="G1644" s="199" t="s">
        <v>4755</v>
      </c>
      <c r="H1644" s="200">
        <v>1656.2</v>
      </c>
      <c r="I1644" s="199" t="s">
        <v>20</v>
      </c>
      <c r="J1644" s="199" t="s">
        <v>415</v>
      </c>
      <c r="K1644" s="201">
        <v>45414</v>
      </c>
      <c r="L1644" s="199" t="s">
        <v>3319</v>
      </c>
      <c r="M1644" s="199" t="s">
        <v>3320</v>
      </c>
    </row>
    <row r="1645" spans="1:13" ht="114">
      <c r="A1645" s="199">
        <v>1644</v>
      </c>
      <c r="B1645" s="199" t="s">
        <v>4959</v>
      </c>
      <c r="C1645" s="199" t="s">
        <v>34</v>
      </c>
      <c r="D1645" s="199" t="s">
        <v>35</v>
      </c>
      <c r="E1645" s="199">
        <v>10</v>
      </c>
      <c r="F1645" s="199" t="s">
        <v>679</v>
      </c>
      <c r="G1645" s="199" t="s">
        <v>4755</v>
      </c>
      <c r="H1645" s="200">
        <v>830.6</v>
      </c>
      <c r="I1645" s="199" t="s">
        <v>20</v>
      </c>
      <c r="J1645" s="199" t="s">
        <v>415</v>
      </c>
      <c r="K1645" s="201">
        <v>45414</v>
      </c>
      <c r="L1645" s="199" t="s">
        <v>3319</v>
      </c>
      <c r="M1645" s="199" t="s">
        <v>3320</v>
      </c>
    </row>
    <row r="1646" spans="1:13" ht="114">
      <c r="A1646" s="199">
        <v>1645</v>
      </c>
      <c r="B1646" s="199" t="s">
        <v>4960</v>
      </c>
      <c r="C1646" s="199" t="s">
        <v>34</v>
      </c>
      <c r="D1646" s="199" t="s">
        <v>35</v>
      </c>
      <c r="E1646" s="199">
        <v>10</v>
      </c>
      <c r="F1646" s="199" t="s">
        <v>679</v>
      </c>
      <c r="G1646" s="199" t="s">
        <v>4755</v>
      </c>
      <c r="H1646" s="200">
        <v>813.4</v>
      </c>
      <c r="I1646" s="199" t="s">
        <v>20</v>
      </c>
      <c r="J1646" s="199" t="s">
        <v>415</v>
      </c>
      <c r="K1646" s="201">
        <v>45414</v>
      </c>
      <c r="L1646" s="199" t="s">
        <v>3319</v>
      </c>
      <c r="M1646" s="199" t="s">
        <v>3320</v>
      </c>
    </row>
    <row r="1647" spans="1:13" ht="128.25">
      <c r="A1647" s="199">
        <v>1646</v>
      </c>
      <c r="B1647" s="199" t="s">
        <v>4961</v>
      </c>
      <c r="C1647" s="199" t="s">
        <v>34</v>
      </c>
      <c r="D1647" s="199" t="s">
        <v>35</v>
      </c>
      <c r="E1647" s="199">
        <v>100</v>
      </c>
      <c r="F1647" s="199" t="s">
        <v>679</v>
      </c>
      <c r="G1647" s="199" t="s">
        <v>4755</v>
      </c>
      <c r="H1647" s="200">
        <v>5678</v>
      </c>
      <c r="I1647" s="199" t="s">
        <v>20</v>
      </c>
      <c r="J1647" s="199" t="s">
        <v>415</v>
      </c>
      <c r="K1647" s="201">
        <v>45414</v>
      </c>
      <c r="L1647" s="199" t="s">
        <v>3319</v>
      </c>
      <c r="M1647" s="199" t="s">
        <v>3320</v>
      </c>
    </row>
    <row r="1648" spans="1:13" ht="128.25">
      <c r="A1648" s="199">
        <v>1647</v>
      </c>
      <c r="B1648" s="199" t="s">
        <v>4962</v>
      </c>
      <c r="C1648" s="199" t="s">
        <v>34</v>
      </c>
      <c r="D1648" s="199" t="s">
        <v>35</v>
      </c>
      <c r="E1648" s="199">
        <v>50</v>
      </c>
      <c r="F1648" s="199" t="s">
        <v>679</v>
      </c>
      <c r="G1648" s="199" t="s">
        <v>4755</v>
      </c>
      <c r="H1648" s="200">
        <v>2847.5</v>
      </c>
      <c r="I1648" s="199" t="s">
        <v>20</v>
      </c>
      <c r="J1648" s="199" t="s">
        <v>415</v>
      </c>
      <c r="K1648" s="201">
        <v>45414</v>
      </c>
      <c r="L1648" s="199" t="s">
        <v>3319</v>
      </c>
      <c r="M1648" s="199" t="s">
        <v>3320</v>
      </c>
    </row>
    <row r="1649" spans="1:13" ht="85.5">
      <c r="A1649" s="199">
        <v>1648</v>
      </c>
      <c r="B1649" s="199" t="s">
        <v>4963</v>
      </c>
      <c r="C1649" s="199" t="s">
        <v>34</v>
      </c>
      <c r="D1649" s="199" t="s">
        <v>35</v>
      </c>
      <c r="E1649" s="199">
        <v>25</v>
      </c>
      <c r="F1649" s="199" t="s">
        <v>679</v>
      </c>
      <c r="G1649" s="199" t="s">
        <v>4755</v>
      </c>
      <c r="H1649" s="200">
        <v>1394.5</v>
      </c>
      <c r="I1649" s="199" t="s">
        <v>20</v>
      </c>
      <c r="J1649" s="199" t="s">
        <v>415</v>
      </c>
      <c r="K1649" s="201">
        <v>45414</v>
      </c>
      <c r="L1649" s="199" t="s">
        <v>3319</v>
      </c>
      <c r="M1649" s="199" t="s">
        <v>3320</v>
      </c>
    </row>
    <row r="1650" spans="1:13" ht="114">
      <c r="A1650" s="199">
        <v>1649</v>
      </c>
      <c r="B1650" s="199" t="s">
        <v>4964</v>
      </c>
      <c r="C1650" s="199" t="s">
        <v>34</v>
      </c>
      <c r="D1650" s="199" t="s">
        <v>35</v>
      </c>
      <c r="E1650" s="199">
        <v>50</v>
      </c>
      <c r="F1650" s="199" t="s">
        <v>679</v>
      </c>
      <c r="G1650" s="199" t="s">
        <v>4755</v>
      </c>
      <c r="H1650" s="200">
        <v>4140.5</v>
      </c>
      <c r="I1650" s="199" t="s">
        <v>20</v>
      </c>
      <c r="J1650" s="199" t="s">
        <v>415</v>
      </c>
      <c r="K1650" s="201">
        <v>45414</v>
      </c>
      <c r="L1650" s="199" t="s">
        <v>3319</v>
      </c>
      <c r="M1650" s="199" t="s">
        <v>3320</v>
      </c>
    </row>
    <row r="1651" spans="1:13" ht="114">
      <c r="A1651" s="199">
        <v>1650</v>
      </c>
      <c r="B1651" s="199" t="s">
        <v>4965</v>
      </c>
      <c r="C1651" s="199" t="s">
        <v>34</v>
      </c>
      <c r="D1651" s="199" t="s">
        <v>35</v>
      </c>
      <c r="E1651" s="199">
        <v>25</v>
      </c>
      <c r="F1651" s="199" t="s">
        <v>679</v>
      </c>
      <c r="G1651" s="199" t="s">
        <v>4755</v>
      </c>
      <c r="H1651" s="200">
        <v>2076.5</v>
      </c>
      <c r="I1651" s="199" t="s">
        <v>20</v>
      </c>
      <c r="J1651" s="199" t="s">
        <v>415</v>
      </c>
      <c r="K1651" s="201">
        <v>45414</v>
      </c>
      <c r="L1651" s="199" t="s">
        <v>3319</v>
      </c>
      <c r="M1651" s="199" t="s">
        <v>3320</v>
      </c>
    </row>
    <row r="1652" spans="1:13" ht="199.5">
      <c r="A1652" s="199">
        <v>1651</v>
      </c>
      <c r="B1652" s="199" t="s">
        <v>4966</v>
      </c>
      <c r="C1652" s="199" t="s">
        <v>34</v>
      </c>
      <c r="D1652" s="199" t="s">
        <v>35</v>
      </c>
      <c r="E1652" s="199">
        <v>50</v>
      </c>
      <c r="F1652" s="199" t="s">
        <v>679</v>
      </c>
      <c r="G1652" s="199" t="s">
        <v>4755</v>
      </c>
      <c r="H1652" s="200">
        <v>2789</v>
      </c>
      <c r="I1652" s="199" t="s">
        <v>20</v>
      </c>
      <c r="J1652" s="199" t="s">
        <v>415</v>
      </c>
      <c r="K1652" s="201">
        <v>45414</v>
      </c>
      <c r="L1652" s="199" t="s">
        <v>3319</v>
      </c>
      <c r="M1652" s="199" t="s">
        <v>3320</v>
      </c>
    </row>
    <row r="1653" spans="1:13" ht="242.25">
      <c r="A1653" s="199">
        <v>1652</v>
      </c>
      <c r="B1653" s="199" t="s">
        <v>4967</v>
      </c>
      <c r="C1653" s="199" t="s">
        <v>34</v>
      </c>
      <c r="D1653" s="199" t="s">
        <v>35</v>
      </c>
      <c r="E1653" s="199">
        <v>20</v>
      </c>
      <c r="F1653" s="199" t="s">
        <v>4907</v>
      </c>
      <c r="G1653" s="199" t="s">
        <v>4755</v>
      </c>
      <c r="H1653" s="200">
        <v>1798.2</v>
      </c>
      <c r="I1653" s="199" t="s">
        <v>20</v>
      </c>
      <c r="J1653" s="199" t="s">
        <v>415</v>
      </c>
      <c r="K1653" s="201">
        <v>45414</v>
      </c>
      <c r="L1653" s="199" t="s">
        <v>3319</v>
      </c>
      <c r="M1653" s="199" t="s">
        <v>3320</v>
      </c>
    </row>
    <row r="1654" spans="1:13" ht="85.5">
      <c r="A1654" s="199">
        <v>1653</v>
      </c>
      <c r="B1654" s="199" t="s">
        <v>4968</v>
      </c>
      <c r="C1654" s="199" t="s">
        <v>34</v>
      </c>
      <c r="D1654" s="199" t="s">
        <v>35</v>
      </c>
      <c r="E1654" s="199">
        <v>60</v>
      </c>
      <c r="F1654" s="199" t="s">
        <v>2378</v>
      </c>
      <c r="G1654" s="199" t="s">
        <v>4755</v>
      </c>
      <c r="H1654" s="200">
        <v>504</v>
      </c>
      <c r="I1654" s="199" t="s">
        <v>20</v>
      </c>
      <c r="J1654" s="199" t="s">
        <v>415</v>
      </c>
      <c r="K1654" s="201">
        <v>45414</v>
      </c>
      <c r="L1654" s="199" t="s">
        <v>3319</v>
      </c>
      <c r="M1654" s="199" t="s">
        <v>3320</v>
      </c>
    </row>
    <row r="1655" spans="1:13" ht="85.5">
      <c r="A1655" s="199">
        <v>1654</v>
      </c>
      <c r="B1655" s="199" t="s">
        <v>4969</v>
      </c>
      <c r="C1655" s="199" t="s">
        <v>34</v>
      </c>
      <c r="D1655" s="199" t="s">
        <v>35</v>
      </c>
      <c r="E1655" s="199">
        <v>20</v>
      </c>
      <c r="F1655" s="199" t="s">
        <v>2378</v>
      </c>
      <c r="G1655" s="199" t="s">
        <v>4755</v>
      </c>
      <c r="H1655" s="200">
        <v>790.2</v>
      </c>
      <c r="I1655" s="199" t="s">
        <v>20</v>
      </c>
      <c r="J1655" s="199" t="s">
        <v>415</v>
      </c>
      <c r="K1655" s="201">
        <v>45414</v>
      </c>
      <c r="L1655" s="199" t="s">
        <v>3319</v>
      </c>
      <c r="M1655" s="199" t="s">
        <v>3320</v>
      </c>
    </row>
    <row r="1656" spans="1:13" ht="85.5">
      <c r="A1656" s="199">
        <v>1655</v>
      </c>
      <c r="B1656" s="199" t="s">
        <v>4970</v>
      </c>
      <c r="C1656" s="199" t="s">
        <v>34</v>
      </c>
      <c r="D1656" s="199" t="s">
        <v>35</v>
      </c>
      <c r="E1656" s="199">
        <v>15</v>
      </c>
      <c r="F1656" s="199" t="s">
        <v>8</v>
      </c>
      <c r="G1656" s="199" t="s">
        <v>4755</v>
      </c>
      <c r="H1656" s="200">
        <v>1064.7</v>
      </c>
      <c r="I1656" s="199" t="s">
        <v>20</v>
      </c>
      <c r="J1656" s="199" t="s">
        <v>415</v>
      </c>
      <c r="K1656" s="201">
        <v>45414</v>
      </c>
      <c r="L1656" s="199" t="s">
        <v>3319</v>
      </c>
      <c r="M1656" s="199" t="s">
        <v>3320</v>
      </c>
    </row>
    <row r="1657" spans="1:13" ht="85.5">
      <c r="A1657" s="199">
        <v>1656</v>
      </c>
      <c r="B1657" s="199" t="s">
        <v>4971</v>
      </c>
      <c r="C1657" s="199" t="s">
        <v>34</v>
      </c>
      <c r="D1657" s="199" t="s">
        <v>35</v>
      </c>
      <c r="E1657" s="199">
        <v>10</v>
      </c>
      <c r="F1657" s="199" t="s">
        <v>8</v>
      </c>
      <c r="G1657" s="199" t="s">
        <v>4755</v>
      </c>
      <c r="H1657" s="200">
        <v>148.4</v>
      </c>
      <c r="I1657" s="199" t="s">
        <v>20</v>
      </c>
      <c r="J1657" s="199" t="s">
        <v>415</v>
      </c>
      <c r="K1657" s="201">
        <v>45414</v>
      </c>
      <c r="L1657" s="199" t="s">
        <v>3319</v>
      </c>
      <c r="M1657" s="199" t="s">
        <v>3320</v>
      </c>
    </row>
    <row r="1658" spans="1:13" ht="85.5">
      <c r="A1658" s="199">
        <v>1657</v>
      </c>
      <c r="B1658" s="199" t="s">
        <v>4972</v>
      </c>
      <c r="C1658" s="199" t="s">
        <v>34</v>
      </c>
      <c r="D1658" s="199" t="s">
        <v>35</v>
      </c>
      <c r="E1658" s="199">
        <v>100</v>
      </c>
      <c r="F1658" s="199" t="s">
        <v>2378</v>
      </c>
      <c r="G1658" s="199" t="s">
        <v>4755</v>
      </c>
      <c r="H1658" s="200">
        <v>1915</v>
      </c>
      <c r="I1658" s="199" t="s">
        <v>20</v>
      </c>
      <c r="J1658" s="199" t="s">
        <v>415</v>
      </c>
      <c r="K1658" s="201">
        <v>45414</v>
      </c>
      <c r="L1658" s="199" t="s">
        <v>3319</v>
      </c>
      <c r="M1658" s="199" t="s">
        <v>3320</v>
      </c>
    </row>
    <row r="1659" spans="1:13" ht="85.5">
      <c r="A1659" s="199">
        <v>1658</v>
      </c>
      <c r="B1659" s="199" t="s">
        <v>4973</v>
      </c>
      <c r="C1659" s="199" t="s">
        <v>34</v>
      </c>
      <c r="D1659" s="199" t="s">
        <v>35</v>
      </c>
      <c r="E1659" s="199">
        <v>30</v>
      </c>
      <c r="F1659" s="199" t="s">
        <v>8</v>
      </c>
      <c r="G1659" s="199" t="s">
        <v>4755</v>
      </c>
      <c r="H1659" s="200">
        <v>496.8</v>
      </c>
      <c r="I1659" s="199" t="s">
        <v>20</v>
      </c>
      <c r="J1659" s="199" t="s">
        <v>415</v>
      </c>
      <c r="K1659" s="201">
        <v>45414</v>
      </c>
      <c r="L1659" s="199" t="s">
        <v>3319</v>
      </c>
      <c r="M1659" s="199" t="s">
        <v>3320</v>
      </c>
    </row>
    <row r="1660" spans="1:13" ht="85.5">
      <c r="A1660" s="199">
        <v>1659</v>
      </c>
      <c r="B1660" s="199" t="s">
        <v>4974</v>
      </c>
      <c r="C1660" s="199" t="s">
        <v>34</v>
      </c>
      <c r="D1660" s="199" t="s">
        <v>35</v>
      </c>
      <c r="E1660" s="199">
        <v>20</v>
      </c>
      <c r="F1660" s="199" t="s">
        <v>8</v>
      </c>
      <c r="G1660" s="199" t="s">
        <v>4755</v>
      </c>
      <c r="H1660" s="200">
        <v>294.8</v>
      </c>
      <c r="I1660" s="199" t="s">
        <v>20</v>
      </c>
      <c r="J1660" s="199" t="s">
        <v>415</v>
      </c>
      <c r="K1660" s="201">
        <v>45414</v>
      </c>
      <c r="L1660" s="199" t="s">
        <v>3319</v>
      </c>
      <c r="M1660" s="199" t="s">
        <v>3320</v>
      </c>
    </row>
    <row r="1661" spans="1:13" ht="85.5">
      <c r="A1661" s="199">
        <v>1660</v>
      </c>
      <c r="B1661" s="199" t="s">
        <v>4975</v>
      </c>
      <c r="C1661" s="199" t="s">
        <v>34</v>
      </c>
      <c r="D1661" s="199" t="s">
        <v>35</v>
      </c>
      <c r="E1661" s="199">
        <v>20</v>
      </c>
      <c r="F1661" s="199" t="s">
        <v>8</v>
      </c>
      <c r="G1661" s="199" t="s">
        <v>4755</v>
      </c>
      <c r="H1661" s="200">
        <v>288.60000000000002</v>
      </c>
      <c r="I1661" s="199" t="s">
        <v>20</v>
      </c>
      <c r="J1661" s="199" t="s">
        <v>415</v>
      </c>
      <c r="K1661" s="201">
        <v>45414</v>
      </c>
      <c r="L1661" s="199" t="s">
        <v>3319</v>
      </c>
      <c r="M1661" s="199" t="s">
        <v>3320</v>
      </c>
    </row>
    <row r="1662" spans="1:13" ht="85.5">
      <c r="A1662" s="199">
        <v>1661</v>
      </c>
      <c r="B1662" s="199" t="s">
        <v>4976</v>
      </c>
      <c r="C1662" s="199" t="s">
        <v>34</v>
      </c>
      <c r="D1662" s="199" t="s">
        <v>35</v>
      </c>
      <c r="E1662" s="199">
        <v>80</v>
      </c>
      <c r="F1662" s="199" t="s">
        <v>2378</v>
      </c>
      <c r="G1662" s="199" t="s">
        <v>4755</v>
      </c>
      <c r="H1662" s="200">
        <v>1240</v>
      </c>
      <c r="I1662" s="199" t="s">
        <v>20</v>
      </c>
      <c r="J1662" s="199" t="s">
        <v>415</v>
      </c>
      <c r="K1662" s="201">
        <v>45414</v>
      </c>
      <c r="L1662" s="199" t="s">
        <v>3319</v>
      </c>
      <c r="M1662" s="199" t="s">
        <v>3320</v>
      </c>
    </row>
    <row r="1663" spans="1:13" ht="85.5">
      <c r="A1663" s="199">
        <v>1662</v>
      </c>
      <c r="B1663" s="199" t="s">
        <v>4977</v>
      </c>
      <c r="C1663" s="199" t="s">
        <v>34</v>
      </c>
      <c r="D1663" s="199" t="s">
        <v>35</v>
      </c>
      <c r="E1663" s="199">
        <v>20</v>
      </c>
      <c r="F1663" s="199" t="s">
        <v>8</v>
      </c>
      <c r="G1663" s="199" t="s">
        <v>4755</v>
      </c>
      <c r="H1663" s="200">
        <v>379.2</v>
      </c>
      <c r="I1663" s="199" t="s">
        <v>20</v>
      </c>
      <c r="J1663" s="199" t="s">
        <v>415</v>
      </c>
      <c r="K1663" s="201">
        <v>45414</v>
      </c>
      <c r="L1663" s="199" t="s">
        <v>3319</v>
      </c>
      <c r="M1663" s="199" t="s">
        <v>3320</v>
      </c>
    </row>
    <row r="1664" spans="1:13" ht="85.5">
      <c r="A1664" s="199">
        <v>1663</v>
      </c>
      <c r="B1664" s="199" t="s">
        <v>4978</v>
      </c>
      <c r="C1664" s="199" t="s">
        <v>34</v>
      </c>
      <c r="D1664" s="199" t="s">
        <v>35</v>
      </c>
      <c r="E1664" s="199">
        <v>20</v>
      </c>
      <c r="F1664" s="199" t="s">
        <v>8</v>
      </c>
      <c r="G1664" s="199" t="s">
        <v>4755</v>
      </c>
      <c r="H1664" s="200">
        <v>371.4</v>
      </c>
      <c r="I1664" s="199" t="s">
        <v>20</v>
      </c>
      <c r="J1664" s="199" t="s">
        <v>415</v>
      </c>
      <c r="K1664" s="201">
        <v>45414</v>
      </c>
      <c r="L1664" s="199" t="s">
        <v>3319</v>
      </c>
      <c r="M1664" s="199" t="s">
        <v>3320</v>
      </c>
    </row>
    <row r="1665" spans="1:13" ht="85.5">
      <c r="A1665" s="199">
        <v>1664</v>
      </c>
      <c r="B1665" s="199" t="s">
        <v>4979</v>
      </c>
      <c r="C1665" s="199" t="s">
        <v>34</v>
      </c>
      <c r="D1665" s="199" t="s">
        <v>35</v>
      </c>
      <c r="E1665" s="199">
        <v>20</v>
      </c>
      <c r="F1665" s="199" t="s">
        <v>8</v>
      </c>
      <c r="G1665" s="199" t="s">
        <v>4755</v>
      </c>
      <c r="H1665" s="200">
        <v>378.2</v>
      </c>
      <c r="I1665" s="199" t="s">
        <v>20</v>
      </c>
      <c r="J1665" s="199" t="s">
        <v>415</v>
      </c>
      <c r="K1665" s="201">
        <v>45414</v>
      </c>
      <c r="L1665" s="199" t="s">
        <v>3319</v>
      </c>
      <c r="M1665" s="199" t="s">
        <v>3320</v>
      </c>
    </row>
    <row r="1666" spans="1:13" ht="85.5">
      <c r="A1666" s="199">
        <v>1665</v>
      </c>
      <c r="B1666" s="199" t="s">
        <v>4980</v>
      </c>
      <c r="C1666" s="199" t="s">
        <v>34</v>
      </c>
      <c r="D1666" s="199" t="s">
        <v>35</v>
      </c>
      <c r="E1666" s="199">
        <v>20</v>
      </c>
      <c r="F1666" s="199" t="s">
        <v>8</v>
      </c>
      <c r="G1666" s="199" t="s">
        <v>4755</v>
      </c>
      <c r="H1666" s="200">
        <v>379.2</v>
      </c>
      <c r="I1666" s="199" t="s">
        <v>20</v>
      </c>
      <c r="J1666" s="199" t="s">
        <v>415</v>
      </c>
      <c r="K1666" s="201">
        <v>45414</v>
      </c>
      <c r="L1666" s="199" t="s">
        <v>3319</v>
      </c>
      <c r="M1666" s="199" t="s">
        <v>3320</v>
      </c>
    </row>
    <row r="1667" spans="1:13" ht="85.5">
      <c r="A1667" s="199">
        <v>1666</v>
      </c>
      <c r="B1667" s="199" t="s">
        <v>4981</v>
      </c>
      <c r="C1667" s="199" t="s">
        <v>34</v>
      </c>
      <c r="D1667" s="199" t="s">
        <v>35</v>
      </c>
      <c r="E1667" s="199">
        <v>20</v>
      </c>
      <c r="F1667" s="199" t="s">
        <v>8</v>
      </c>
      <c r="G1667" s="199" t="s">
        <v>4755</v>
      </c>
      <c r="H1667" s="200">
        <v>371.4</v>
      </c>
      <c r="I1667" s="199" t="s">
        <v>20</v>
      </c>
      <c r="J1667" s="199" t="s">
        <v>415</v>
      </c>
      <c r="K1667" s="201">
        <v>45414</v>
      </c>
      <c r="L1667" s="199" t="s">
        <v>3319</v>
      </c>
      <c r="M1667" s="199" t="s">
        <v>3320</v>
      </c>
    </row>
    <row r="1668" spans="1:13" ht="85.5">
      <c r="A1668" s="199">
        <v>1667</v>
      </c>
      <c r="B1668" s="199" t="s">
        <v>4982</v>
      </c>
      <c r="C1668" s="199" t="s">
        <v>34</v>
      </c>
      <c r="D1668" s="199" t="s">
        <v>35</v>
      </c>
      <c r="E1668" s="199">
        <v>20</v>
      </c>
      <c r="F1668" s="199" t="s">
        <v>8</v>
      </c>
      <c r="G1668" s="199" t="s">
        <v>4755</v>
      </c>
      <c r="H1668" s="200">
        <v>378.2</v>
      </c>
      <c r="I1668" s="199" t="s">
        <v>20</v>
      </c>
      <c r="J1668" s="199" t="s">
        <v>415</v>
      </c>
      <c r="K1668" s="201">
        <v>45414</v>
      </c>
      <c r="L1668" s="199" t="s">
        <v>3319</v>
      </c>
      <c r="M1668" s="199" t="s">
        <v>3320</v>
      </c>
    </row>
    <row r="1669" spans="1:13" ht="85.5">
      <c r="A1669" s="199">
        <v>1668</v>
      </c>
      <c r="B1669" s="199" t="s">
        <v>4983</v>
      </c>
      <c r="C1669" s="199" t="s">
        <v>34</v>
      </c>
      <c r="D1669" s="199" t="s">
        <v>35</v>
      </c>
      <c r="E1669" s="199">
        <v>20</v>
      </c>
      <c r="F1669" s="199" t="s">
        <v>3846</v>
      </c>
      <c r="G1669" s="199" t="s">
        <v>4755</v>
      </c>
      <c r="H1669" s="200">
        <v>3085</v>
      </c>
      <c r="I1669" s="199" t="s">
        <v>20</v>
      </c>
      <c r="J1669" s="199" t="s">
        <v>415</v>
      </c>
      <c r="K1669" s="201">
        <v>45414</v>
      </c>
      <c r="L1669" s="199" t="s">
        <v>3319</v>
      </c>
      <c r="M1669" s="199" t="s">
        <v>3320</v>
      </c>
    </row>
    <row r="1670" spans="1:13" ht="85.5">
      <c r="A1670" s="199">
        <v>1669</v>
      </c>
      <c r="B1670" s="199" t="s">
        <v>4984</v>
      </c>
      <c r="C1670" s="199" t="s">
        <v>34</v>
      </c>
      <c r="D1670" s="199" t="s">
        <v>35</v>
      </c>
      <c r="E1670" s="199">
        <v>80</v>
      </c>
      <c r="F1670" s="199" t="s">
        <v>8</v>
      </c>
      <c r="G1670" s="199" t="s">
        <v>4755</v>
      </c>
      <c r="H1670" s="200">
        <v>929.6</v>
      </c>
      <c r="I1670" s="199" t="s">
        <v>20</v>
      </c>
      <c r="J1670" s="199" t="s">
        <v>415</v>
      </c>
      <c r="K1670" s="201">
        <v>45414</v>
      </c>
      <c r="L1670" s="199" t="s">
        <v>3319</v>
      </c>
      <c r="M1670" s="199" t="s">
        <v>3320</v>
      </c>
    </row>
    <row r="1671" spans="1:13" ht="85.5">
      <c r="A1671" s="199">
        <v>1670</v>
      </c>
      <c r="B1671" s="199" t="s">
        <v>4985</v>
      </c>
      <c r="C1671" s="199" t="s">
        <v>34</v>
      </c>
      <c r="D1671" s="199" t="s">
        <v>35</v>
      </c>
      <c r="E1671" s="199">
        <v>50</v>
      </c>
      <c r="F1671" s="199" t="s">
        <v>2378</v>
      </c>
      <c r="G1671" s="199" t="s">
        <v>4755</v>
      </c>
      <c r="H1671" s="200">
        <v>2650</v>
      </c>
      <c r="I1671" s="199" t="s">
        <v>20</v>
      </c>
      <c r="J1671" s="199" t="s">
        <v>415</v>
      </c>
      <c r="K1671" s="201">
        <v>45414</v>
      </c>
      <c r="L1671" s="199" t="s">
        <v>3319</v>
      </c>
      <c r="M1671" s="199" t="s">
        <v>3320</v>
      </c>
    </row>
    <row r="1672" spans="1:13" ht="99.75">
      <c r="A1672" s="199">
        <v>1671</v>
      </c>
      <c r="B1672" s="199" t="s">
        <v>4986</v>
      </c>
      <c r="C1672" s="199" t="s">
        <v>34</v>
      </c>
      <c r="D1672" s="199" t="s">
        <v>35</v>
      </c>
      <c r="E1672" s="199">
        <v>100</v>
      </c>
      <c r="F1672" s="199" t="s">
        <v>679</v>
      </c>
      <c r="G1672" s="199" t="s">
        <v>4755</v>
      </c>
      <c r="H1672" s="200">
        <v>4271</v>
      </c>
      <c r="I1672" s="199" t="s">
        <v>20</v>
      </c>
      <c r="J1672" s="199" t="s">
        <v>415</v>
      </c>
      <c r="K1672" s="201">
        <v>45414</v>
      </c>
      <c r="L1672" s="199" t="s">
        <v>3319</v>
      </c>
      <c r="M1672" s="199" t="s">
        <v>3320</v>
      </c>
    </row>
    <row r="1673" spans="1:13" ht="199.5">
      <c r="A1673" s="199">
        <v>1672</v>
      </c>
      <c r="B1673" s="199" t="s">
        <v>4987</v>
      </c>
      <c r="C1673" s="199" t="s">
        <v>34</v>
      </c>
      <c r="D1673" s="199" t="s">
        <v>35</v>
      </c>
      <c r="E1673" s="199">
        <v>25</v>
      </c>
      <c r="F1673" s="199" t="s">
        <v>679</v>
      </c>
      <c r="G1673" s="199" t="s">
        <v>4755</v>
      </c>
      <c r="H1673" s="200">
        <v>697.25</v>
      </c>
      <c r="I1673" s="199" t="s">
        <v>20</v>
      </c>
      <c r="J1673" s="199" t="s">
        <v>415</v>
      </c>
      <c r="K1673" s="201">
        <v>45414</v>
      </c>
      <c r="L1673" s="199" t="s">
        <v>3319</v>
      </c>
      <c r="M1673" s="199" t="s">
        <v>3320</v>
      </c>
    </row>
    <row r="1674" spans="1:13" ht="85.5">
      <c r="A1674" s="199">
        <v>1673</v>
      </c>
      <c r="B1674" s="199" t="s">
        <v>4988</v>
      </c>
      <c r="C1674" s="199" t="s">
        <v>34</v>
      </c>
      <c r="D1674" s="199" t="s">
        <v>35</v>
      </c>
      <c r="E1674" s="199">
        <v>20</v>
      </c>
      <c r="F1674" s="199" t="s">
        <v>679</v>
      </c>
      <c r="G1674" s="199" t="s">
        <v>4755</v>
      </c>
      <c r="H1674" s="200">
        <v>662.4</v>
      </c>
      <c r="I1674" s="199" t="s">
        <v>20</v>
      </c>
      <c r="J1674" s="199" t="s">
        <v>415</v>
      </c>
      <c r="K1674" s="201">
        <v>45414</v>
      </c>
      <c r="L1674" s="199" t="s">
        <v>3319</v>
      </c>
      <c r="M1674" s="199" t="s">
        <v>3320</v>
      </c>
    </row>
    <row r="1675" spans="1:13" ht="85.5">
      <c r="A1675" s="199">
        <v>1674</v>
      </c>
      <c r="B1675" s="199" t="s">
        <v>4989</v>
      </c>
      <c r="C1675" s="199" t="s">
        <v>34</v>
      </c>
      <c r="D1675" s="199" t="s">
        <v>35</v>
      </c>
      <c r="E1675" s="199">
        <v>20</v>
      </c>
      <c r="F1675" s="199" t="s">
        <v>679</v>
      </c>
      <c r="G1675" s="199" t="s">
        <v>4755</v>
      </c>
      <c r="H1675" s="200">
        <v>664.4</v>
      </c>
      <c r="I1675" s="199" t="s">
        <v>20</v>
      </c>
      <c r="J1675" s="199" t="s">
        <v>415</v>
      </c>
      <c r="K1675" s="201">
        <v>45414</v>
      </c>
      <c r="L1675" s="199" t="s">
        <v>3319</v>
      </c>
      <c r="M1675" s="199" t="s">
        <v>3320</v>
      </c>
    </row>
    <row r="1676" spans="1:13" ht="85.5">
      <c r="A1676" s="199">
        <v>1675</v>
      </c>
      <c r="B1676" s="199" t="s">
        <v>4990</v>
      </c>
      <c r="C1676" s="199" t="s">
        <v>34</v>
      </c>
      <c r="D1676" s="199" t="s">
        <v>35</v>
      </c>
      <c r="E1676" s="199">
        <v>20</v>
      </c>
      <c r="F1676" s="199" t="s">
        <v>679</v>
      </c>
      <c r="G1676" s="199" t="s">
        <v>4755</v>
      </c>
      <c r="H1676" s="200">
        <v>650.79999999999995</v>
      </c>
      <c r="I1676" s="199" t="s">
        <v>20</v>
      </c>
      <c r="J1676" s="199" t="s">
        <v>415</v>
      </c>
      <c r="K1676" s="201">
        <v>45414</v>
      </c>
      <c r="L1676" s="199" t="s">
        <v>3319</v>
      </c>
      <c r="M1676" s="199" t="s">
        <v>3320</v>
      </c>
    </row>
    <row r="1677" spans="1:13" ht="171">
      <c r="A1677" s="199">
        <v>1676</v>
      </c>
      <c r="B1677" s="199" t="s">
        <v>4991</v>
      </c>
      <c r="C1677" s="199" t="s">
        <v>34</v>
      </c>
      <c r="D1677" s="199" t="s">
        <v>35</v>
      </c>
      <c r="E1677" s="199">
        <v>100</v>
      </c>
      <c r="F1677" s="199" t="s">
        <v>679</v>
      </c>
      <c r="G1677" s="199" t="s">
        <v>4755</v>
      </c>
      <c r="H1677" s="200">
        <v>2839</v>
      </c>
      <c r="I1677" s="199" t="s">
        <v>20</v>
      </c>
      <c r="J1677" s="199" t="s">
        <v>415</v>
      </c>
      <c r="K1677" s="201">
        <v>45414</v>
      </c>
      <c r="L1677" s="199" t="s">
        <v>3319</v>
      </c>
      <c r="M1677" s="199" t="s">
        <v>3320</v>
      </c>
    </row>
    <row r="1678" spans="1:13" ht="185.25">
      <c r="A1678" s="199">
        <v>1677</v>
      </c>
      <c r="B1678" s="199" t="s">
        <v>4992</v>
      </c>
      <c r="C1678" s="199" t="s">
        <v>34</v>
      </c>
      <c r="D1678" s="199" t="s">
        <v>35</v>
      </c>
      <c r="E1678" s="199">
        <v>100</v>
      </c>
      <c r="F1678" s="199" t="s">
        <v>679</v>
      </c>
      <c r="G1678" s="199" t="s">
        <v>4755</v>
      </c>
      <c r="H1678" s="200">
        <v>2848</v>
      </c>
      <c r="I1678" s="199" t="s">
        <v>20</v>
      </c>
      <c r="J1678" s="199" t="s">
        <v>415</v>
      </c>
      <c r="K1678" s="201">
        <v>45414</v>
      </c>
      <c r="L1678" s="199" t="s">
        <v>3319</v>
      </c>
      <c r="M1678" s="199" t="s">
        <v>3320</v>
      </c>
    </row>
    <row r="1679" spans="1:13" ht="171">
      <c r="A1679" s="199">
        <v>1678</v>
      </c>
      <c r="B1679" s="199" t="s">
        <v>4993</v>
      </c>
      <c r="C1679" s="199" t="s">
        <v>34</v>
      </c>
      <c r="D1679" s="199" t="s">
        <v>35</v>
      </c>
      <c r="E1679" s="199">
        <v>50</v>
      </c>
      <c r="F1679" s="199" t="s">
        <v>679</v>
      </c>
      <c r="G1679" s="199" t="s">
        <v>4755</v>
      </c>
      <c r="H1679" s="200">
        <v>1394.5</v>
      </c>
      <c r="I1679" s="199" t="s">
        <v>20</v>
      </c>
      <c r="J1679" s="199" t="s">
        <v>415</v>
      </c>
      <c r="K1679" s="201">
        <v>45414</v>
      </c>
      <c r="L1679" s="199" t="s">
        <v>3319</v>
      </c>
      <c r="M1679" s="199" t="s">
        <v>3320</v>
      </c>
    </row>
    <row r="1680" spans="1:13" ht="171">
      <c r="A1680" s="199">
        <v>1679</v>
      </c>
      <c r="B1680" s="199" t="s">
        <v>4994</v>
      </c>
      <c r="C1680" s="199" t="s">
        <v>34</v>
      </c>
      <c r="D1680" s="199" t="s">
        <v>35</v>
      </c>
      <c r="E1680" s="199">
        <v>60</v>
      </c>
      <c r="F1680" s="199" t="s">
        <v>679</v>
      </c>
      <c r="G1680" s="199" t="s">
        <v>4755</v>
      </c>
      <c r="H1680" s="200">
        <v>1703.4</v>
      </c>
      <c r="I1680" s="199" t="s">
        <v>20</v>
      </c>
      <c r="J1680" s="199" t="s">
        <v>415</v>
      </c>
      <c r="K1680" s="201">
        <v>45414</v>
      </c>
      <c r="L1680" s="199" t="s">
        <v>3319</v>
      </c>
      <c r="M1680" s="199" t="s">
        <v>3320</v>
      </c>
    </row>
    <row r="1681" spans="1:13" ht="114">
      <c r="A1681" s="199">
        <v>1680</v>
      </c>
      <c r="B1681" s="199" t="s">
        <v>4995</v>
      </c>
      <c r="C1681" s="199" t="s">
        <v>34</v>
      </c>
      <c r="D1681" s="199" t="s">
        <v>35</v>
      </c>
      <c r="E1681" s="199">
        <v>50</v>
      </c>
      <c r="F1681" s="199" t="s">
        <v>679</v>
      </c>
      <c r="G1681" s="199" t="s">
        <v>4755</v>
      </c>
      <c r="H1681" s="200">
        <v>1424</v>
      </c>
      <c r="I1681" s="199" t="s">
        <v>20</v>
      </c>
      <c r="J1681" s="199" t="s">
        <v>415</v>
      </c>
      <c r="K1681" s="201">
        <v>45414</v>
      </c>
      <c r="L1681" s="199" t="s">
        <v>3319</v>
      </c>
      <c r="M1681" s="199" t="s">
        <v>3320</v>
      </c>
    </row>
    <row r="1682" spans="1:13" ht="114">
      <c r="A1682" s="199">
        <v>1681</v>
      </c>
      <c r="B1682" s="199" t="s">
        <v>4996</v>
      </c>
      <c r="C1682" s="199" t="s">
        <v>34</v>
      </c>
      <c r="D1682" s="199" t="s">
        <v>35</v>
      </c>
      <c r="E1682" s="199">
        <v>50</v>
      </c>
      <c r="F1682" s="199" t="s">
        <v>679</v>
      </c>
      <c r="G1682" s="199" t="s">
        <v>4755</v>
      </c>
      <c r="H1682" s="200">
        <v>1394.5</v>
      </c>
      <c r="I1682" s="199" t="s">
        <v>20</v>
      </c>
      <c r="J1682" s="199" t="s">
        <v>415</v>
      </c>
      <c r="K1682" s="201">
        <v>45414</v>
      </c>
      <c r="L1682" s="199" t="s">
        <v>3319</v>
      </c>
      <c r="M1682" s="199" t="s">
        <v>3320</v>
      </c>
    </row>
    <row r="1683" spans="1:13" ht="171">
      <c r="A1683" s="199">
        <v>1682</v>
      </c>
      <c r="B1683" s="199" t="s">
        <v>4997</v>
      </c>
      <c r="C1683" s="199" t="s">
        <v>34</v>
      </c>
      <c r="D1683" s="199" t="s">
        <v>35</v>
      </c>
      <c r="E1683" s="199">
        <v>50</v>
      </c>
      <c r="F1683" s="199" t="s">
        <v>679</v>
      </c>
      <c r="G1683" s="199" t="s">
        <v>4755</v>
      </c>
      <c r="H1683" s="200">
        <v>1419.5</v>
      </c>
      <c r="I1683" s="199" t="s">
        <v>20</v>
      </c>
      <c r="J1683" s="199" t="s">
        <v>415</v>
      </c>
      <c r="K1683" s="201">
        <v>45414</v>
      </c>
      <c r="L1683" s="199" t="s">
        <v>3319</v>
      </c>
      <c r="M1683" s="199" t="s">
        <v>3320</v>
      </c>
    </row>
    <row r="1684" spans="1:13" ht="171">
      <c r="A1684" s="199">
        <v>1683</v>
      </c>
      <c r="B1684" s="199" t="s">
        <v>4998</v>
      </c>
      <c r="C1684" s="199" t="s">
        <v>34</v>
      </c>
      <c r="D1684" s="199" t="s">
        <v>35</v>
      </c>
      <c r="E1684" s="199">
        <v>50</v>
      </c>
      <c r="F1684" s="199" t="s">
        <v>679</v>
      </c>
      <c r="G1684" s="199" t="s">
        <v>4755</v>
      </c>
      <c r="H1684" s="200">
        <v>1424</v>
      </c>
      <c r="I1684" s="199" t="s">
        <v>20</v>
      </c>
      <c r="J1684" s="199" t="s">
        <v>415</v>
      </c>
      <c r="K1684" s="201">
        <v>45414</v>
      </c>
      <c r="L1684" s="199" t="s">
        <v>3319</v>
      </c>
      <c r="M1684" s="199" t="s">
        <v>3320</v>
      </c>
    </row>
    <row r="1685" spans="1:13" ht="156.75">
      <c r="A1685" s="199">
        <v>1684</v>
      </c>
      <c r="B1685" s="199" t="s">
        <v>4999</v>
      </c>
      <c r="C1685" s="199" t="s">
        <v>34</v>
      </c>
      <c r="D1685" s="199" t="s">
        <v>35</v>
      </c>
      <c r="E1685" s="199">
        <v>30</v>
      </c>
      <c r="F1685" s="199" t="s">
        <v>679</v>
      </c>
      <c r="G1685" s="199" t="s">
        <v>4755</v>
      </c>
      <c r="H1685" s="200">
        <v>836.7</v>
      </c>
      <c r="I1685" s="199" t="s">
        <v>20</v>
      </c>
      <c r="J1685" s="199" t="s">
        <v>415</v>
      </c>
      <c r="K1685" s="201">
        <v>45414</v>
      </c>
      <c r="L1685" s="199" t="s">
        <v>3319</v>
      </c>
      <c r="M1685" s="199" t="s">
        <v>3320</v>
      </c>
    </row>
    <row r="1686" spans="1:13" ht="171">
      <c r="A1686" s="199">
        <v>1685</v>
      </c>
      <c r="B1686" s="199" t="s">
        <v>5000</v>
      </c>
      <c r="C1686" s="199" t="s">
        <v>34</v>
      </c>
      <c r="D1686" s="199" t="s">
        <v>35</v>
      </c>
      <c r="E1686" s="199">
        <v>100</v>
      </c>
      <c r="F1686" s="199" t="s">
        <v>679</v>
      </c>
      <c r="G1686" s="199" t="s">
        <v>4755</v>
      </c>
      <c r="H1686" s="200">
        <v>2839</v>
      </c>
      <c r="I1686" s="199" t="s">
        <v>20</v>
      </c>
      <c r="J1686" s="199" t="s">
        <v>415</v>
      </c>
      <c r="K1686" s="201">
        <v>45414</v>
      </c>
      <c r="L1686" s="199" t="s">
        <v>3319</v>
      </c>
      <c r="M1686" s="199" t="s">
        <v>3320</v>
      </c>
    </row>
    <row r="1687" spans="1:13" ht="114">
      <c r="A1687" s="199">
        <v>1686</v>
      </c>
      <c r="B1687" s="199" t="s">
        <v>5001</v>
      </c>
      <c r="C1687" s="199" t="s">
        <v>34</v>
      </c>
      <c r="D1687" s="199" t="s">
        <v>35</v>
      </c>
      <c r="E1687" s="199">
        <v>50</v>
      </c>
      <c r="F1687" s="199" t="s">
        <v>679</v>
      </c>
      <c r="G1687" s="199" t="s">
        <v>4755</v>
      </c>
      <c r="H1687" s="200">
        <v>1424</v>
      </c>
      <c r="I1687" s="199" t="s">
        <v>20</v>
      </c>
      <c r="J1687" s="199" t="s">
        <v>415</v>
      </c>
      <c r="K1687" s="201">
        <v>45414</v>
      </c>
      <c r="L1687" s="199" t="s">
        <v>3319</v>
      </c>
      <c r="M1687" s="199" t="s">
        <v>3320</v>
      </c>
    </row>
    <row r="1688" spans="1:13" ht="114">
      <c r="A1688" s="199">
        <v>1687</v>
      </c>
      <c r="B1688" s="199" t="s">
        <v>5002</v>
      </c>
      <c r="C1688" s="199" t="s">
        <v>34</v>
      </c>
      <c r="D1688" s="199" t="s">
        <v>35</v>
      </c>
      <c r="E1688" s="199">
        <v>60</v>
      </c>
      <c r="F1688" s="199" t="s">
        <v>679</v>
      </c>
      <c r="G1688" s="199" t="s">
        <v>4755</v>
      </c>
      <c r="H1688" s="200">
        <v>1673.4</v>
      </c>
      <c r="I1688" s="199" t="s">
        <v>20</v>
      </c>
      <c r="J1688" s="199" t="s">
        <v>415</v>
      </c>
      <c r="K1688" s="201">
        <v>45414</v>
      </c>
      <c r="L1688" s="199" t="s">
        <v>3319</v>
      </c>
      <c r="M1688" s="199" t="s">
        <v>3320</v>
      </c>
    </row>
    <row r="1689" spans="1:13" ht="171">
      <c r="A1689" s="199">
        <v>1688</v>
      </c>
      <c r="B1689" s="199" t="s">
        <v>5003</v>
      </c>
      <c r="C1689" s="199" t="s">
        <v>34</v>
      </c>
      <c r="D1689" s="199" t="s">
        <v>35</v>
      </c>
      <c r="E1689" s="199">
        <v>80</v>
      </c>
      <c r="F1689" s="199" t="s">
        <v>679</v>
      </c>
      <c r="G1689" s="199" t="s">
        <v>4755</v>
      </c>
      <c r="H1689" s="200">
        <v>2271.1999999999998</v>
      </c>
      <c r="I1689" s="199" t="s">
        <v>20</v>
      </c>
      <c r="J1689" s="199" t="s">
        <v>415</v>
      </c>
      <c r="K1689" s="201">
        <v>45414</v>
      </c>
      <c r="L1689" s="199" t="s">
        <v>3319</v>
      </c>
      <c r="M1689" s="199" t="s">
        <v>3320</v>
      </c>
    </row>
    <row r="1690" spans="1:13" ht="171">
      <c r="A1690" s="199">
        <v>1689</v>
      </c>
      <c r="B1690" s="199" t="s">
        <v>5004</v>
      </c>
      <c r="C1690" s="199" t="s">
        <v>34</v>
      </c>
      <c r="D1690" s="199" t="s">
        <v>35</v>
      </c>
      <c r="E1690" s="199">
        <v>60</v>
      </c>
      <c r="F1690" s="199" t="s">
        <v>679</v>
      </c>
      <c r="G1690" s="199" t="s">
        <v>4755</v>
      </c>
      <c r="H1690" s="200">
        <v>1708.8</v>
      </c>
      <c r="I1690" s="199" t="s">
        <v>20</v>
      </c>
      <c r="J1690" s="199" t="s">
        <v>415</v>
      </c>
      <c r="K1690" s="201">
        <v>45414</v>
      </c>
      <c r="L1690" s="199" t="s">
        <v>3319</v>
      </c>
      <c r="M1690" s="199" t="s">
        <v>3320</v>
      </c>
    </row>
    <row r="1691" spans="1:13" ht="114">
      <c r="A1691" s="199">
        <v>1690</v>
      </c>
      <c r="B1691" s="199" t="s">
        <v>5005</v>
      </c>
      <c r="C1691" s="199" t="s">
        <v>34</v>
      </c>
      <c r="D1691" s="199" t="s">
        <v>35</v>
      </c>
      <c r="E1691" s="199">
        <v>40</v>
      </c>
      <c r="F1691" s="199" t="s">
        <v>679</v>
      </c>
      <c r="G1691" s="199" t="s">
        <v>4755</v>
      </c>
      <c r="H1691" s="200">
        <v>1115.5999999999999</v>
      </c>
      <c r="I1691" s="199" t="s">
        <v>20</v>
      </c>
      <c r="J1691" s="199" t="s">
        <v>415</v>
      </c>
      <c r="K1691" s="201">
        <v>45414</v>
      </c>
      <c r="L1691" s="199" t="s">
        <v>3319</v>
      </c>
      <c r="M1691" s="199" t="s">
        <v>3320</v>
      </c>
    </row>
    <row r="1692" spans="1:13" ht="199.5">
      <c r="A1692" s="199">
        <v>1691</v>
      </c>
      <c r="B1692" s="199" t="s">
        <v>5006</v>
      </c>
      <c r="C1692" s="199" t="s">
        <v>34</v>
      </c>
      <c r="D1692" s="199" t="s">
        <v>35</v>
      </c>
      <c r="E1692" s="199">
        <v>30</v>
      </c>
      <c r="F1692" s="199" t="s">
        <v>679</v>
      </c>
      <c r="G1692" s="199" t="s">
        <v>4755</v>
      </c>
      <c r="H1692" s="200">
        <v>851.7</v>
      </c>
      <c r="I1692" s="199" t="s">
        <v>20</v>
      </c>
      <c r="J1692" s="199" t="s">
        <v>415</v>
      </c>
      <c r="K1692" s="201">
        <v>45414</v>
      </c>
      <c r="L1692" s="199" t="s">
        <v>3319</v>
      </c>
      <c r="M1692" s="199" t="s">
        <v>3320</v>
      </c>
    </row>
    <row r="1693" spans="1:13" ht="171">
      <c r="A1693" s="199">
        <v>1692</v>
      </c>
      <c r="B1693" s="199" t="s">
        <v>5007</v>
      </c>
      <c r="C1693" s="199" t="s">
        <v>34</v>
      </c>
      <c r="D1693" s="199" t="s">
        <v>35</v>
      </c>
      <c r="E1693" s="199">
        <v>30</v>
      </c>
      <c r="F1693" s="199" t="s">
        <v>679</v>
      </c>
      <c r="G1693" s="199" t="s">
        <v>4755</v>
      </c>
      <c r="H1693" s="200">
        <v>854.4</v>
      </c>
      <c r="I1693" s="199" t="s">
        <v>20</v>
      </c>
      <c r="J1693" s="199" t="s">
        <v>415</v>
      </c>
      <c r="K1693" s="201">
        <v>45414</v>
      </c>
      <c r="L1693" s="199" t="s">
        <v>3319</v>
      </c>
      <c r="M1693" s="199" t="s">
        <v>3320</v>
      </c>
    </row>
    <row r="1694" spans="1:13" ht="185.25">
      <c r="A1694" s="199">
        <v>1693</v>
      </c>
      <c r="B1694" s="199" t="s">
        <v>5008</v>
      </c>
      <c r="C1694" s="199" t="s">
        <v>34</v>
      </c>
      <c r="D1694" s="199" t="s">
        <v>35</v>
      </c>
      <c r="E1694" s="199">
        <v>40</v>
      </c>
      <c r="F1694" s="199" t="s">
        <v>679</v>
      </c>
      <c r="G1694" s="199" t="s">
        <v>4755</v>
      </c>
      <c r="H1694" s="200">
        <v>1115.5999999999999</v>
      </c>
      <c r="I1694" s="199" t="s">
        <v>20</v>
      </c>
      <c r="J1694" s="199" t="s">
        <v>415</v>
      </c>
      <c r="K1694" s="201">
        <v>45414</v>
      </c>
      <c r="L1694" s="199" t="s">
        <v>3319</v>
      </c>
      <c r="M1694" s="199" t="s">
        <v>3320</v>
      </c>
    </row>
    <row r="1695" spans="1:13" ht="114">
      <c r="A1695" s="199">
        <v>1694</v>
      </c>
      <c r="B1695" s="199" t="s">
        <v>5009</v>
      </c>
      <c r="C1695" s="199" t="s">
        <v>34</v>
      </c>
      <c r="D1695" s="199" t="s">
        <v>35</v>
      </c>
      <c r="E1695" s="199">
        <v>40</v>
      </c>
      <c r="F1695" s="199" t="s">
        <v>679</v>
      </c>
      <c r="G1695" s="199" t="s">
        <v>4755</v>
      </c>
      <c r="H1695" s="200">
        <v>1135.5999999999999</v>
      </c>
      <c r="I1695" s="199" t="s">
        <v>20</v>
      </c>
      <c r="J1695" s="199" t="s">
        <v>415</v>
      </c>
      <c r="K1695" s="201">
        <v>45414</v>
      </c>
      <c r="L1695" s="199" t="s">
        <v>3319</v>
      </c>
      <c r="M1695" s="199" t="s">
        <v>3320</v>
      </c>
    </row>
    <row r="1696" spans="1:13" ht="114">
      <c r="A1696" s="199">
        <v>1695</v>
      </c>
      <c r="B1696" s="199" t="s">
        <v>5010</v>
      </c>
      <c r="C1696" s="199" t="s">
        <v>34</v>
      </c>
      <c r="D1696" s="199" t="s">
        <v>35</v>
      </c>
      <c r="E1696" s="199">
        <v>60</v>
      </c>
      <c r="F1696" s="199" t="s">
        <v>679</v>
      </c>
      <c r="G1696" s="199" t="s">
        <v>4755</v>
      </c>
      <c r="H1696" s="200">
        <v>1708.8</v>
      </c>
      <c r="I1696" s="199" t="s">
        <v>20</v>
      </c>
      <c r="J1696" s="199" t="s">
        <v>415</v>
      </c>
      <c r="K1696" s="201">
        <v>45414</v>
      </c>
      <c r="L1696" s="199" t="s">
        <v>3319</v>
      </c>
      <c r="M1696" s="199" t="s">
        <v>3320</v>
      </c>
    </row>
    <row r="1697" spans="1:13" ht="171">
      <c r="A1697" s="199">
        <v>1696</v>
      </c>
      <c r="B1697" s="199" t="s">
        <v>5011</v>
      </c>
      <c r="C1697" s="199" t="s">
        <v>34</v>
      </c>
      <c r="D1697" s="199" t="s">
        <v>35</v>
      </c>
      <c r="E1697" s="199">
        <v>60</v>
      </c>
      <c r="F1697" s="199" t="s">
        <v>679</v>
      </c>
      <c r="G1697" s="199" t="s">
        <v>4755</v>
      </c>
      <c r="H1697" s="200">
        <v>1673.4</v>
      </c>
      <c r="I1697" s="199" t="s">
        <v>20</v>
      </c>
      <c r="J1697" s="199" t="s">
        <v>415</v>
      </c>
      <c r="K1697" s="201">
        <v>45414</v>
      </c>
      <c r="L1697" s="199" t="s">
        <v>3319</v>
      </c>
      <c r="M1697" s="199" t="s">
        <v>3320</v>
      </c>
    </row>
    <row r="1698" spans="1:13" ht="142.5">
      <c r="A1698" s="199">
        <v>1697</v>
      </c>
      <c r="B1698" s="199" t="s">
        <v>5012</v>
      </c>
      <c r="C1698" s="199" t="s">
        <v>34</v>
      </c>
      <c r="D1698" s="199" t="s">
        <v>35</v>
      </c>
      <c r="E1698" s="199">
        <v>40</v>
      </c>
      <c r="F1698" s="199" t="s">
        <v>679</v>
      </c>
      <c r="G1698" s="199" t="s">
        <v>4755</v>
      </c>
      <c r="H1698" s="200">
        <v>1135.5999999999999</v>
      </c>
      <c r="I1698" s="199" t="s">
        <v>20</v>
      </c>
      <c r="J1698" s="199" t="s">
        <v>415</v>
      </c>
      <c r="K1698" s="201">
        <v>45414</v>
      </c>
      <c r="L1698" s="199" t="s">
        <v>3319</v>
      </c>
      <c r="M1698" s="199" t="s">
        <v>3320</v>
      </c>
    </row>
    <row r="1699" spans="1:13" ht="128.25">
      <c r="A1699" s="199">
        <v>1698</v>
      </c>
      <c r="B1699" s="199" t="s">
        <v>5013</v>
      </c>
      <c r="C1699" s="199" t="s">
        <v>34</v>
      </c>
      <c r="D1699" s="199" t="s">
        <v>35</v>
      </c>
      <c r="E1699" s="199">
        <v>40</v>
      </c>
      <c r="F1699" s="199" t="s">
        <v>679</v>
      </c>
      <c r="G1699" s="199" t="s">
        <v>4755</v>
      </c>
      <c r="H1699" s="200">
        <v>1139.2</v>
      </c>
      <c r="I1699" s="199" t="s">
        <v>20</v>
      </c>
      <c r="J1699" s="199" t="s">
        <v>415</v>
      </c>
      <c r="K1699" s="201">
        <v>45414</v>
      </c>
      <c r="L1699" s="199" t="s">
        <v>3319</v>
      </c>
      <c r="M1699" s="199" t="s">
        <v>3320</v>
      </c>
    </row>
    <row r="1700" spans="1:13" ht="114">
      <c r="A1700" s="199">
        <v>1699</v>
      </c>
      <c r="B1700" s="199" t="s">
        <v>5014</v>
      </c>
      <c r="C1700" s="199" t="s">
        <v>34</v>
      </c>
      <c r="D1700" s="199" t="s">
        <v>35</v>
      </c>
      <c r="E1700" s="199">
        <v>10</v>
      </c>
      <c r="F1700" s="199" t="s">
        <v>679</v>
      </c>
      <c r="G1700" s="199" t="s">
        <v>4755</v>
      </c>
      <c r="H1700" s="200">
        <v>278.89999999999998</v>
      </c>
      <c r="I1700" s="199" t="s">
        <v>20</v>
      </c>
      <c r="J1700" s="199" t="s">
        <v>415</v>
      </c>
      <c r="K1700" s="201">
        <v>45414</v>
      </c>
      <c r="L1700" s="199" t="s">
        <v>3319</v>
      </c>
      <c r="M1700" s="199" t="s">
        <v>3320</v>
      </c>
    </row>
    <row r="1701" spans="1:13" ht="114">
      <c r="A1701" s="199">
        <v>1700</v>
      </c>
      <c r="B1701" s="199" t="s">
        <v>5015</v>
      </c>
      <c r="C1701" s="199" t="s">
        <v>34</v>
      </c>
      <c r="D1701" s="199" t="s">
        <v>35</v>
      </c>
      <c r="E1701" s="199">
        <v>10</v>
      </c>
      <c r="F1701" s="199" t="s">
        <v>679</v>
      </c>
      <c r="G1701" s="199" t="s">
        <v>4755</v>
      </c>
      <c r="H1701" s="200">
        <v>8683.2000000000007</v>
      </c>
      <c r="I1701" s="199" t="s">
        <v>20</v>
      </c>
      <c r="J1701" s="199" t="s">
        <v>415</v>
      </c>
      <c r="K1701" s="201">
        <v>45414</v>
      </c>
      <c r="L1701" s="199" t="s">
        <v>3319</v>
      </c>
      <c r="M1701" s="199" t="s">
        <v>3320</v>
      </c>
    </row>
    <row r="1702" spans="1:13" ht="128.25">
      <c r="A1702" s="199">
        <v>1701</v>
      </c>
      <c r="B1702" s="199" t="s">
        <v>5016</v>
      </c>
      <c r="C1702" s="199" t="s">
        <v>34</v>
      </c>
      <c r="D1702" s="199" t="s">
        <v>35</v>
      </c>
      <c r="E1702" s="199">
        <v>10</v>
      </c>
      <c r="F1702" s="199" t="s">
        <v>679</v>
      </c>
      <c r="G1702" s="199" t="s">
        <v>4755</v>
      </c>
      <c r="H1702" s="200">
        <v>8708.9</v>
      </c>
      <c r="I1702" s="199" t="s">
        <v>20</v>
      </c>
      <c r="J1702" s="199" t="s">
        <v>415</v>
      </c>
      <c r="K1702" s="201">
        <v>45414</v>
      </c>
      <c r="L1702" s="199" t="s">
        <v>3319</v>
      </c>
      <c r="M1702" s="199" t="s">
        <v>3320</v>
      </c>
    </row>
    <row r="1703" spans="1:13" ht="114">
      <c r="A1703" s="199">
        <v>1702</v>
      </c>
      <c r="B1703" s="199" t="s">
        <v>5017</v>
      </c>
      <c r="C1703" s="199" t="s">
        <v>34</v>
      </c>
      <c r="D1703" s="199" t="s">
        <v>35</v>
      </c>
      <c r="E1703" s="199">
        <v>10</v>
      </c>
      <c r="F1703" s="199" t="s">
        <v>679</v>
      </c>
      <c r="G1703" s="199" t="s">
        <v>4755</v>
      </c>
      <c r="H1703" s="200">
        <v>9830.5</v>
      </c>
      <c r="I1703" s="199" t="s">
        <v>20</v>
      </c>
      <c r="J1703" s="199" t="s">
        <v>415</v>
      </c>
      <c r="K1703" s="201">
        <v>45414</v>
      </c>
      <c r="L1703" s="199" t="s">
        <v>3319</v>
      </c>
      <c r="M1703" s="199" t="s">
        <v>3320</v>
      </c>
    </row>
    <row r="1704" spans="1:13" ht="114">
      <c r="A1704" s="199">
        <v>1703</v>
      </c>
      <c r="B1704" s="199" t="s">
        <v>5018</v>
      </c>
      <c r="C1704" s="199" t="s">
        <v>34</v>
      </c>
      <c r="D1704" s="199" t="s">
        <v>35</v>
      </c>
      <c r="E1704" s="199">
        <v>10</v>
      </c>
      <c r="F1704" s="199" t="s">
        <v>679</v>
      </c>
      <c r="G1704" s="199" t="s">
        <v>4755</v>
      </c>
      <c r="H1704" s="200">
        <v>10008.200000000001</v>
      </c>
      <c r="I1704" s="199" t="s">
        <v>20</v>
      </c>
      <c r="J1704" s="199" t="s">
        <v>415</v>
      </c>
      <c r="K1704" s="201">
        <v>45414</v>
      </c>
      <c r="L1704" s="199" t="s">
        <v>3319</v>
      </c>
      <c r="M1704" s="199" t="s">
        <v>3320</v>
      </c>
    </row>
    <row r="1705" spans="1:13" ht="114">
      <c r="A1705" s="199">
        <v>1704</v>
      </c>
      <c r="B1705" s="199" t="s">
        <v>5019</v>
      </c>
      <c r="C1705" s="199" t="s">
        <v>34</v>
      </c>
      <c r="D1705" s="199" t="s">
        <v>35</v>
      </c>
      <c r="E1705" s="199">
        <v>10</v>
      </c>
      <c r="F1705" s="199" t="s">
        <v>679</v>
      </c>
      <c r="G1705" s="199" t="s">
        <v>4755</v>
      </c>
      <c r="H1705" s="200">
        <v>10037.799999999999</v>
      </c>
      <c r="I1705" s="199" t="s">
        <v>20</v>
      </c>
      <c r="J1705" s="199" t="s">
        <v>415</v>
      </c>
      <c r="K1705" s="201">
        <v>45414</v>
      </c>
      <c r="L1705" s="199" t="s">
        <v>3319</v>
      </c>
      <c r="M1705" s="199" t="s">
        <v>3320</v>
      </c>
    </row>
    <row r="1706" spans="1:13" ht="114">
      <c r="A1706" s="199">
        <v>1705</v>
      </c>
      <c r="B1706" s="199" t="s">
        <v>5020</v>
      </c>
      <c r="C1706" s="199" t="s">
        <v>34</v>
      </c>
      <c r="D1706" s="199" t="s">
        <v>35</v>
      </c>
      <c r="E1706" s="199">
        <v>20</v>
      </c>
      <c r="F1706" s="199" t="s">
        <v>679</v>
      </c>
      <c r="G1706" s="199" t="s">
        <v>4755</v>
      </c>
      <c r="H1706" s="200">
        <v>19661</v>
      </c>
      <c r="I1706" s="199" t="s">
        <v>20</v>
      </c>
      <c r="J1706" s="199" t="s">
        <v>415</v>
      </c>
      <c r="K1706" s="201">
        <v>45414</v>
      </c>
      <c r="L1706" s="199" t="s">
        <v>3319</v>
      </c>
      <c r="M1706" s="199" t="s">
        <v>3320</v>
      </c>
    </row>
    <row r="1707" spans="1:13" ht="114">
      <c r="A1707" s="199">
        <v>1706</v>
      </c>
      <c r="B1707" s="199" t="s">
        <v>5021</v>
      </c>
      <c r="C1707" s="199" t="s">
        <v>34</v>
      </c>
      <c r="D1707" s="199" t="s">
        <v>35</v>
      </c>
      <c r="E1707" s="199">
        <v>20</v>
      </c>
      <c r="F1707" s="199" t="s">
        <v>679</v>
      </c>
      <c r="G1707" s="199" t="s">
        <v>4755</v>
      </c>
      <c r="H1707" s="200">
        <v>20016.400000000001</v>
      </c>
      <c r="I1707" s="199" t="s">
        <v>20</v>
      </c>
      <c r="J1707" s="199" t="s">
        <v>415</v>
      </c>
      <c r="K1707" s="201">
        <v>45414</v>
      </c>
      <c r="L1707" s="199" t="s">
        <v>3319</v>
      </c>
      <c r="M1707" s="199" t="s">
        <v>3320</v>
      </c>
    </row>
    <row r="1708" spans="1:13" ht="114">
      <c r="A1708" s="199">
        <v>1707</v>
      </c>
      <c r="B1708" s="199" t="s">
        <v>5022</v>
      </c>
      <c r="C1708" s="199" t="s">
        <v>34</v>
      </c>
      <c r="D1708" s="199" t="s">
        <v>35</v>
      </c>
      <c r="E1708" s="199">
        <v>40</v>
      </c>
      <c r="F1708" s="199" t="s">
        <v>679</v>
      </c>
      <c r="G1708" s="199" t="s">
        <v>4755</v>
      </c>
      <c r="H1708" s="200">
        <v>40151.199999999997</v>
      </c>
      <c r="I1708" s="199" t="s">
        <v>20</v>
      </c>
      <c r="J1708" s="199" t="s">
        <v>415</v>
      </c>
      <c r="K1708" s="201">
        <v>45414</v>
      </c>
      <c r="L1708" s="199" t="s">
        <v>3319</v>
      </c>
      <c r="M1708" s="199" t="s">
        <v>3320</v>
      </c>
    </row>
    <row r="1709" spans="1:13" ht="99.75">
      <c r="A1709" s="199">
        <v>1708</v>
      </c>
      <c r="B1709" s="199" t="s">
        <v>5023</v>
      </c>
      <c r="C1709" s="199" t="s">
        <v>34</v>
      </c>
      <c r="D1709" s="199" t="s">
        <v>35</v>
      </c>
      <c r="E1709" s="199">
        <v>20</v>
      </c>
      <c r="F1709" s="199" t="s">
        <v>679</v>
      </c>
      <c r="G1709" s="199" t="s">
        <v>4755</v>
      </c>
      <c r="H1709" s="200">
        <v>8784.7999999999993</v>
      </c>
      <c r="I1709" s="199" t="s">
        <v>20</v>
      </c>
      <c r="J1709" s="199" t="s">
        <v>415</v>
      </c>
      <c r="K1709" s="201">
        <v>45414</v>
      </c>
      <c r="L1709" s="199" t="s">
        <v>3319</v>
      </c>
      <c r="M1709" s="199" t="s">
        <v>3320</v>
      </c>
    </row>
    <row r="1710" spans="1:13" ht="99.75">
      <c r="A1710" s="199">
        <v>1709</v>
      </c>
      <c r="B1710" s="199" t="s">
        <v>5024</v>
      </c>
      <c r="C1710" s="199" t="s">
        <v>34</v>
      </c>
      <c r="D1710" s="199" t="s">
        <v>35</v>
      </c>
      <c r="E1710" s="199">
        <v>40</v>
      </c>
      <c r="F1710" s="199" t="s">
        <v>679</v>
      </c>
      <c r="G1710" s="199" t="s">
        <v>4755</v>
      </c>
      <c r="H1710" s="200">
        <v>17886.8</v>
      </c>
      <c r="I1710" s="199" t="s">
        <v>20</v>
      </c>
      <c r="J1710" s="199" t="s">
        <v>415</v>
      </c>
      <c r="K1710" s="201">
        <v>45414</v>
      </c>
      <c r="L1710" s="199" t="s">
        <v>3319</v>
      </c>
      <c r="M1710" s="199" t="s">
        <v>3320</v>
      </c>
    </row>
    <row r="1711" spans="1:13" ht="171">
      <c r="A1711" s="199">
        <v>1710</v>
      </c>
      <c r="B1711" s="199" t="s">
        <v>5025</v>
      </c>
      <c r="C1711" s="199" t="s">
        <v>34</v>
      </c>
      <c r="D1711" s="199" t="s">
        <v>35</v>
      </c>
      <c r="E1711" s="199">
        <v>30</v>
      </c>
      <c r="F1711" s="199" t="s">
        <v>679</v>
      </c>
      <c r="G1711" s="199" t="s">
        <v>4755</v>
      </c>
      <c r="H1711" s="200">
        <v>7119</v>
      </c>
      <c r="I1711" s="199" t="s">
        <v>20</v>
      </c>
      <c r="J1711" s="199" t="s">
        <v>415</v>
      </c>
      <c r="K1711" s="201">
        <v>45414</v>
      </c>
      <c r="L1711" s="199" t="s">
        <v>3319</v>
      </c>
      <c r="M1711" s="199" t="s">
        <v>3320</v>
      </c>
    </row>
    <row r="1712" spans="1:13" ht="156.75">
      <c r="A1712" s="199">
        <v>1711</v>
      </c>
      <c r="B1712" s="199" t="s">
        <v>5026</v>
      </c>
      <c r="C1712" s="199" t="s">
        <v>34</v>
      </c>
      <c r="D1712" s="199" t="s">
        <v>35</v>
      </c>
      <c r="E1712" s="199">
        <v>60</v>
      </c>
      <c r="F1712" s="199" t="s">
        <v>679</v>
      </c>
      <c r="G1712" s="199" t="s">
        <v>4755</v>
      </c>
      <c r="H1712" s="200">
        <v>13944</v>
      </c>
      <c r="I1712" s="199" t="s">
        <v>20</v>
      </c>
      <c r="J1712" s="199" t="s">
        <v>415</v>
      </c>
      <c r="K1712" s="201">
        <v>45414</v>
      </c>
      <c r="L1712" s="199" t="s">
        <v>3319</v>
      </c>
      <c r="M1712" s="199" t="s">
        <v>3320</v>
      </c>
    </row>
    <row r="1713" spans="1:13" ht="199.5">
      <c r="A1713" s="199">
        <v>1712</v>
      </c>
      <c r="B1713" s="199" t="s">
        <v>5027</v>
      </c>
      <c r="C1713" s="199" t="s">
        <v>34</v>
      </c>
      <c r="D1713" s="199" t="s">
        <v>35</v>
      </c>
      <c r="E1713" s="199">
        <v>30</v>
      </c>
      <c r="F1713" s="199" t="s">
        <v>679</v>
      </c>
      <c r="G1713" s="199" t="s">
        <v>4755</v>
      </c>
      <c r="H1713" s="200">
        <v>7098</v>
      </c>
      <c r="I1713" s="199" t="s">
        <v>20</v>
      </c>
      <c r="J1713" s="199" t="s">
        <v>415</v>
      </c>
      <c r="K1713" s="201">
        <v>45414</v>
      </c>
      <c r="L1713" s="199" t="s">
        <v>3319</v>
      </c>
      <c r="M1713" s="199" t="s">
        <v>3320</v>
      </c>
    </row>
    <row r="1714" spans="1:13" ht="142.5">
      <c r="A1714" s="199">
        <v>1713</v>
      </c>
      <c r="B1714" s="199" t="s">
        <v>5028</v>
      </c>
      <c r="C1714" s="199" t="s">
        <v>34</v>
      </c>
      <c r="D1714" s="199" t="s">
        <v>35</v>
      </c>
      <c r="E1714" s="199">
        <v>120</v>
      </c>
      <c r="F1714" s="199" t="s">
        <v>679</v>
      </c>
      <c r="G1714" s="199" t="s">
        <v>4755</v>
      </c>
      <c r="H1714" s="200">
        <v>28476</v>
      </c>
      <c r="I1714" s="199" t="s">
        <v>20</v>
      </c>
      <c r="J1714" s="199" t="s">
        <v>415</v>
      </c>
      <c r="K1714" s="201">
        <v>45414</v>
      </c>
      <c r="L1714" s="199" t="s">
        <v>3319</v>
      </c>
      <c r="M1714" s="199" t="s">
        <v>3320</v>
      </c>
    </row>
    <row r="1715" spans="1:13" ht="128.25">
      <c r="A1715" s="199">
        <v>1714</v>
      </c>
      <c r="B1715" s="199" t="s">
        <v>5029</v>
      </c>
      <c r="C1715" s="199" t="s">
        <v>34</v>
      </c>
      <c r="D1715" s="199" t="s">
        <v>35</v>
      </c>
      <c r="E1715" s="199">
        <v>240</v>
      </c>
      <c r="F1715" s="199" t="s">
        <v>679</v>
      </c>
      <c r="G1715" s="199" t="s">
        <v>4755</v>
      </c>
      <c r="H1715" s="200">
        <v>55776</v>
      </c>
      <c r="I1715" s="199" t="s">
        <v>20</v>
      </c>
      <c r="J1715" s="199" t="s">
        <v>415</v>
      </c>
      <c r="K1715" s="201">
        <v>45414</v>
      </c>
      <c r="L1715" s="199" t="s">
        <v>3319</v>
      </c>
      <c r="M1715" s="199" t="s">
        <v>3320</v>
      </c>
    </row>
    <row r="1716" spans="1:13" ht="142.5">
      <c r="A1716" s="199">
        <v>1715</v>
      </c>
      <c r="B1716" s="199" t="s">
        <v>5030</v>
      </c>
      <c r="C1716" s="199" t="s">
        <v>34</v>
      </c>
      <c r="D1716" s="199" t="s">
        <v>35</v>
      </c>
      <c r="E1716" s="199">
        <v>120</v>
      </c>
      <c r="F1716" s="199" t="s">
        <v>679</v>
      </c>
      <c r="G1716" s="199" t="s">
        <v>4755</v>
      </c>
      <c r="H1716" s="200">
        <v>28392</v>
      </c>
      <c r="I1716" s="199" t="s">
        <v>20</v>
      </c>
      <c r="J1716" s="199" t="s">
        <v>415</v>
      </c>
      <c r="K1716" s="201">
        <v>45414</v>
      </c>
      <c r="L1716" s="199" t="s">
        <v>3319</v>
      </c>
      <c r="M1716" s="199" t="s">
        <v>3320</v>
      </c>
    </row>
    <row r="1717" spans="1:13" ht="142.5">
      <c r="A1717" s="199">
        <v>1716</v>
      </c>
      <c r="B1717" s="199" t="s">
        <v>5031</v>
      </c>
      <c r="C1717" s="199" t="s">
        <v>34</v>
      </c>
      <c r="D1717" s="199" t="s">
        <v>35</v>
      </c>
      <c r="E1717" s="199">
        <v>2</v>
      </c>
      <c r="F1717" s="199" t="s">
        <v>679</v>
      </c>
      <c r="G1717" s="199" t="s">
        <v>4755</v>
      </c>
      <c r="H1717" s="200">
        <v>474.6</v>
      </c>
      <c r="I1717" s="199" t="s">
        <v>20</v>
      </c>
      <c r="J1717" s="199" t="s">
        <v>415</v>
      </c>
      <c r="K1717" s="201">
        <v>45414</v>
      </c>
      <c r="L1717" s="199" t="s">
        <v>3319</v>
      </c>
      <c r="M1717" s="199" t="s">
        <v>3320</v>
      </c>
    </row>
    <row r="1718" spans="1:13" ht="142.5">
      <c r="A1718" s="199">
        <v>1717</v>
      </c>
      <c r="B1718" s="199" t="s">
        <v>5032</v>
      </c>
      <c r="C1718" s="199" t="s">
        <v>34</v>
      </c>
      <c r="D1718" s="199" t="s">
        <v>35</v>
      </c>
      <c r="E1718" s="199">
        <v>15</v>
      </c>
      <c r="F1718" s="199" t="s">
        <v>679</v>
      </c>
      <c r="G1718" s="199" t="s">
        <v>4755</v>
      </c>
      <c r="H1718" s="200">
        <v>3486</v>
      </c>
      <c r="I1718" s="199" t="s">
        <v>20</v>
      </c>
      <c r="J1718" s="199" t="s">
        <v>415</v>
      </c>
      <c r="K1718" s="201">
        <v>45414</v>
      </c>
      <c r="L1718" s="199" t="s">
        <v>3319</v>
      </c>
      <c r="M1718" s="199" t="s">
        <v>3320</v>
      </c>
    </row>
    <row r="1719" spans="1:13" ht="142.5">
      <c r="A1719" s="199">
        <v>1718</v>
      </c>
      <c r="B1719" s="199" t="s">
        <v>5033</v>
      </c>
      <c r="C1719" s="199" t="s">
        <v>34</v>
      </c>
      <c r="D1719" s="199" t="s">
        <v>35</v>
      </c>
      <c r="E1719" s="199">
        <v>15</v>
      </c>
      <c r="F1719" s="199" t="s">
        <v>679</v>
      </c>
      <c r="G1719" s="199" t="s">
        <v>4755</v>
      </c>
      <c r="H1719" s="200">
        <v>3549</v>
      </c>
      <c r="I1719" s="199" t="s">
        <v>20</v>
      </c>
      <c r="J1719" s="199" t="s">
        <v>415</v>
      </c>
      <c r="K1719" s="201">
        <v>45414</v>
      </c>
      <c r="L1719" s="199" t="s">
        <v>3319</v>
      </c>
      <c r="M1719" s="199" t="s">
        <v>3320</v>
      </c>
    </row>
    <row r="1720" spans="1:13" ht="142.5">
      <c r="A1720" s="199">
        <v>1719</v>
      </c>
      <c r="B1720" s="199" t="s">
        <v>5034</v>
      </c>
      <c r="C1720" s="199" t="s">
        <v>34</v>
      </c>
      <c r="D1720" s="199" t="s">
        <v>35</v>
      </c>
      <c r="E1720" s="199">
        <v>1</v>
      </c>
      <c r="F1720" s="199" t="s">
        <v>679</v>
      </c>
      <c r="G1720" s="199" t="s">
        <v>4755</v>
      </c>
      <c r="H1720" s="200">
        <v>237.3</v>
      </c>
      <c r="I1720" s="199" t="s">
        <v>20</v>
      </c>
      <c r="J1720" s="199" t="s">
        <v>415</v>
      </c>
      <c r="K1720" s="201">
        <v>45414</v>
      </c>
      <c r="L1720" s="199" t="s">
        <v>3319</v>
      </c>
      <c r="M1720" s="199" t="s">
        <v>3320</v>
      </c>
    </row>
    <row r="1721" spans="1:13" ht="142.5">
      <c r="A1721" s="199">
        <v>1720</v>
      </c>
      <c r="B1721" s="199" t="s">
        <v>5035</v>
      </c>
      <c r="C1721" s="199" t="s">
        <v>34</v>
      </c>
      <c r="D1721" s="199" t="s">
        <v>35</v>
      </c>
      <c r="E1721" s="199">
        <v>6</v>
      </c>
      <c r="F1721" s="199" t="s">
        <v>679</v>
      </c>
      <c r="G1721" s="199" t="s">
        <v>4755</v>
      </c>
      <c r="H1721" s="200">
        <v>1394.4</v>
      </c>
      <c r="I1721" s="199" t="s">
        <v>20</v>
      </c>
      <c r="J1721" s="199" t="s">
        <v>415</v>
      </c>
      <c r="K1721" s="201">
        <v>45414</v>
      </c>
      <c r="L1721" s="199" t="s">
        <v>3319</v>
      </c>
      <c r="M1721" s="199" t="s">
        <v>3320</v>
      </c>
    </row>
    <row r="1722" spans="1:13" ht="142.5">
      <c r="A1722" s="199">
        <v>1721</v>
      </c>
      <c r="B1722" s="199" t="s">
        <v>5036</v>
      </c>
      <c r="C1722" s="199" t="s">
        <v>34</v>
      </c>
      <c r="D1722" s="199" t="s">
        <v>35</v>
      </c>
      <c r="E1722" s="199">
        <v>6</v>
      </c>
      <c r="F1722" s="199" t="s">
        <v>591</v>
      </c>
      <c r="G1722" s="199" t="s">
        <v>4755</v>
      </c>
      <c r="H1722" s="200">
        <v>1419.6</v>
      </c>
      <c r="I1722" s="199" t="s">
        <v>20</v>
      </c>
      <c r="J1722" s="199" t="s">
        <v>415</v>
      </c>
      <c r="K1722" s="201">
        <v>45414</v>
      </c>
      <c r="L1722" s="199" t="s">
        <v>3319</v>
      </c>
      <c r="M1722" s="199" t="s">
        <v>3320</v>
      </c>
    </row>
    <row r="1723" spans="1:13" ht="99.75">
      <c r="A1723" s="199">
        <v>1722</v>
      </c>
      <c r="B1723" s="199" t="s">
        <v>5037</v>
      </c>
      <c r="C1723" s="199" t="s">
        <v>34</v>
      </c>
      <c r="D1723" s="199" t="s">
        <v>35</v>
      </c>
      <c r="E1723" s="199">
        <v>800</v>
      </c>
      <c r="F1723" s="199" t="s">
        <v>8</v>
      </c>
      <c r="G1723" s="199" t="s">
        <v>4755</v>
      </c>
      <c r="H1723" s="200">
        <v>9496</v>
      </c>
      <c r="I1723" s="199" t="s">
        <v>20</v>
      </c>
      <c r="J1723" s="199" t="s">
        <v>415</v>
      </c>
      <c r="K1723" s="201">
        <v>45414</v>
      </c>
      <c r="L1723" s="199" t="s">
        <v>3319</v>
      </c>
      <c r="M1723" s="199" t="s">
        <v>3320</v>
      </c>
    </row>
    <row r="1724" spans="1:13" ht="85.5">
      <c r="A1724" s="199">
        <v>1723</v>
      </c>
      <c r="B1724" s="199" t="s">
        <v>5038</v>
      </c>
      <c r="C1724" s="199" t="s">
        <v>34</v>
      </c>
      <c r="D1724" s="199" t="s">
        <v>35</v>
      </c>
      <c r="E1724" s="199">
        <v>1</v>
      </c>
      <c r="F1724" s="199" t="s">
        <v>679</v>
      </c>
      <c r="G1724" s="199" t="s">
        <v>4755</v>
      </c>
      <c r="H1724" s="200">
        <v>183.6</v>
      </c>
      <c r="I1724" s="199" t="s">
        <v>20</v>
      </c>
      <c r="J1724" s="199" t="s">
        <v>415</v>
      </c>
      <c r="K1724" s="201">
        <v>45414</v>
      </c>
      <c r="L1724" s="199" t="s">
        <v>3319</v>
      </c>
      <c r="M1724" s="199" t="s">
        <v>3320</v>
      </c>
    </row>
    <row r="1725" spans="1:13" ht="156.75">
      <c r="A1725" s="199">
        <v>1724</v>
      </c>
      <c r="B1725" s="199" t="s">
        <v>5039</v>
      </c>
      <c r="C1725" s="199" t="s">
        <v>34</v>
      </c>
      <c r="D1725" s="199" t="s">
        <v>35</v>
      </c>
      <c r="E1725" s="199">
        <v>5</v>
      </c>
      <c r="F1725" s="199" t="s">
        <v>679</v>
      </c>
      <c r="G1725" s="199" t="s">
        <v>4755</v>
      </c>
      <c r="H1725" s="200">
        <v>1183</v>
      </c>
      <c r="I1725" s="199" t="s">
        <v>20</v>
      </c>
      <c r="J1725" s="199" t="s">
        <v>415</v>
      </c>
      <c r="K1725" s="201">
        <v>45414</v>
      </c>
      <c r="L1725" s="199" t="s">
        <v>3319</v>
      </c>
      <c r="M1725" s="199" t="s">
        <v>3320</v>
      </c>
    </row>
    <row r="1726" spans="1:13" ht="85.5">
      <c r="A1726" s="199">
        <v>1725</v>
      </c>
      <c r="B1726" s="199" t="s">
        <v>5040</v>
      </c>
      <c r="C1726" s="199" t="s">
        <v>34</v>
      </c>
      <c r="D1726" s="199" t="s">
        <v>35</v>
      </c>
      <c r="E1726" s="199">
        <v>120</v>
      </c>
      <c r="F1726" s="199" t="s">
        <v>2378</v>
      </c>
      <c r="G1726" s="199" t="s">
        <v>4755</v>
      </c>
      <c r="H1726" s="200">
        <v>1970.4</v>
      </c>
      <c r="I1726" s="199" t="s">
        <v>20</v>
      </c>
      <c r="J1726" s="199" t="s">
        <v>415</v>
      </c>
      <c r="K1726" s="201">
        <v>45414</v>
      </c>
      <c r="L1726" s="199" t="s">
        <v>3319</v>
      </c>
      <c r="M1726" s="199" t="s">
        <v>3320</v>
      </c>
    </row>
    <row r="1727" spans="1:13" ht="85.5">
      <c r="A1727" s="199">
        <v>1726</v>
      </c>
      <c r="B1727" s="199" t="s">
        <v>5041</v>
      </c>
      <c r="C1727" s="199" t="s">
        <v>34</v>
      </c>
      <c r="D1727" s="199" t="s">
        <v>35</v>
      </c>
      <c r="E1727" s="199">
        <v>80</v>
      </c>
      <c r="F1727" s="199" t="s">
        <v>2378</v>
      </c>
      <c r="G1727" s="199" t="s">
        <v>4755</v>
      </c>
      <c r="H1727" s="200">
        <v>894.4</v>
      </c>
      <c r="I1727" s="199" t="s">
        <v>20</v>
      </c>
      <c r="J1727" s="199" t="s">
        <v>415</v>
      </c>
      <c r="K1727" s="201">
        <v>45414</v>
      </c>
      <c r="L1727" s="199" t="s">
        <v>3319</v>
      </c>
      <c r="M1727" s="199" t="s">
        <v>3320</v>
      </c>
    </row>
    <row r="1728" spans="1:13" ht="171">
      <c r="A1728" s="199">
        <v>1727</v>
      </c>
      <c r="B1728" s="199" t="s">
        <v>5042</v>
      </c>
      <c r="C1728" s="199" t="s">
        <v>34</v>
      </c>
      <c r="D1728" s="199" t="s">
        <v>35</v>
      </c>
      <c r="E1728" s="199">
        <v>10</v>
      </c>
      <c r="F1728" s="199" t="s">
        <v>679</v>
      </c>
      <c r="G1728" s="199" t="s">
        <v>4755</v>
      </c>
      <c r="H1728" s="200">
        <v>1064.7</v>
      </c>
      <c r="I1728" s="199" t="s">
        <v>20</v>
      </c>
      <c r="J1728" s="199" t="s">
        <v>415</v>
      </c>
      <c r="K1728" s="201">
        <v>45414</v>
      </c>
      <c r="L1728" s="199" t="s">
        <v>3319</v>
      </c>
      <c r="M1728" s="199" t="s">
        <v>3320</v>
      </c>
    </row>
    <row r="1729" spans="1:13" ht="142.5">
      <c r="A1729" s="199">
        <v>1728</v>
      </c>
      <c r="B1729" s="199" t="s">
        <v>5043</v>
      </c>
      <c r="C1729" s="199" t="s">
        <v>34</v>
      </c>
      <c r="D1729" s="199" t="s">
        <v>35</v>
      </c>
      <c r="E1729" s="199">
        <v>45</v>
      </c>
      <c r="F1729" s="199" t="s">
        <v>679</v>
      </c>
      <c r="G1729" s="199" t="s">
        <v>4755</v>
      </c>
      <c r="H1729" s="200">
        <v>3844.35</v>
      </c>
      <c r="I1729" s="199" t="s">
        <v>20</v>
      </c>
      <c r="J1729" s="199" t="s">
        <v>415</v>
      </c>
      <c r="K1729" s="201">
        <v>45414</v>
      </c>
      <c r="L1729" s="199" t="s">
        <v>3319</v>
      </c>
      <c r="M1729" s="199" t="s">
        <v>3320</v>
      </c>
    </row>
    <row r="1730" spans="1:13" ht="128.25">
      <c r="A1730" s="199">
        <v>1729</v>
      </c>
      <c r="B1730" s="199" t="s">
        <v>5044</v>
      </c>
      <c r="C1730" s="199" t="s">
        <v>34</v>
      </c>
      <c r="D1730" s="199" t="s">
        <v>35</v>
      </c>
      <c r="E1730" s="199">
        <v>45</v>
      </c>
      <c r="F1730" s="199" t="s">
        <v>679</v>
      </c>
      <c r="G1730" s="199" t="s">
        <v>4755</v>
      </c>
      <c r="H1730" s="200">
        <v>3764.7</v>
      </c>
      <c r="I1730" s="199" t="s">
        <v>20</v>
      </c>
      <c r="J1730" s="199" t="s">
        <v>415</v>
      </c>
      <c r="K1730" s="201">
        <v>45414</v>
      </c>
      <c r="L1730" s="199" t="s">
        <v>3319</v>
      </c>
      <c r="M1730" s="199" t="s">
        <v>3320</v>
      </c>
    </row>
    <row r="1731" spans="1:13" ht="128.25">
      <c r="A1731" s="199">
        <v>1730</v>
      </c>
      <c r="B1731" s="199" t="s">
        <v>5045</v>
      </c>
      <c r="C1731" s="199" t="s">
        <v>34</v>
      </c>
      <c r="D1731" s="199" t="s">
        <v>35</v>
      </c>
      <c r="E1731" s="199">
        <v>45</v>
      </c>
      <c r="F1731" s="199" t="s">
        <v>679</v>
      </c>
      <c r="G1731" s="199" t="s">
        <v>4755</v>
      </c>
      <c r="H1731" s="200">
        <v>3833.1</v>
      </c>
      <c r="I1731" s="199" t="s">
        <v>20</v>
      </c>
      <c r="J1731" s="199" t="s">
        <v>415</v>
      </c>
      <c r="K1731" s="201">
        <v>45414</v>
      </c>
      <c r="L1731" s="199" t="s">
        <v>3319</v>
      </c>
      <c r="M1731" s="199" t="s">
        <v>3320</v>
      </c>
    </row>
    <row r="1732" spans="1:13" ht="142.5">
      <c r="A1732" s="199">
        <v>1731</v>
      </c>
      <c r="B1732" s="199" t="s">
        <v>5046</v>
      </c>
      <c r="C1732" s="199" t="s">
        <v>34</v>
      </c>
      <c r="D1732" s="199" t="s">
        <v>35</v>
      </c>
      <c r="E1732" s="199">
        <v>45</v>
      </c>
      <c r="F1732" s="199" t="s">
        <v>679</v>
      </c>
      <c r="G1732" s="199" t="s">
        <v>4755</v>
      </c>
      <c r="H1732" s="200">
        <v>2669.85</v>
      </c>
      <c r="I1732" s="199" t="s">
        <v>20</v>
      </c>
      <c r="J1732" s="199" t="s">
        <v>415</v>
      </c>
      <c r="K1732" s="201">
        <v>45414</v>
      </c>
      <c r="L1732" s="199" t="s">
        <v>3319</v>
      </c>
      <c r="M1732" s="199" t="s">
        <v>3320</v>
      </c>
    </row>
    <row r="1733" spans="1:13" ht="142.5">
      <c r="A1733" s="199">
        <v>1732</v>
      </c>
      <c r="B1733" s="199" t="s">
        <v>5047</v>
      </c>
      <c r="C1733" s="199" t="s">
        <v>34</v>
      </c>
      <c r="D1733" s="199" t="s">
        <v>35</v>
      </c>
      <c r="E1733" s="199">
        <v>45</v>
      </c>
      <c r="F1733" s="199" t="s">
        <v>679</v>
      </c>
      <c r="G1733" s="199" t="s">
        <v>4755</v>
      </c>
      <c r="H1733" s="200">
        <v>2614.5</v>
      </c>
      <c r="I1733" s="199" t="s">
        <v>20</v>
      </c>
      <c r="J1733" s="199" t="s">
        <v>415</v>
      </c>
      <c r="K1733" s="201">
        <v>45414</v>
      </c>
      <c r="L1733" s="199" t="s">
        <v>3319</v>
      </c>
      <c r="M1733" s="199" t="s">
        <v>3320</v>
      </c>
    </row>
    <row r="1734" spans="1:13" ht="142.5">
      <c r="A1734" s="199">
        <v>1733</v>
      </c>
      <c r="B1734" s="199" t="s">
        <v>5048</v>
      </c>
      <c r="C1734" s="199" t="s">
        <v>34</v>
      </c>
      <c r="D1734" s="199" t="s">
        <v>35</v>
      </c>
      <c r="E1734" s="199">
        <v>25</v>
      </c>
      <c r="F1734" s="199" t="s">
        <v>679</v>
      </c>
      <c r="G1734" s="199" t="s">
        <v>4755</v>
      </c>
      <c r="H1734" s="200">
        <v>1478.75</v>
      </c>
      <c r="I1734" s="199" t="s">
        <v>20</v>
      </c>
      <c r="J1734" s="199" t="s">
        <v>415</v>
      </c>
      <c r="K1734" s="201">
        <v>45414</v>
      </c>
      <c r="L1734" s="199" t="s">
        <v>3319</v>
      </c>
      <c r="M1734" s="199" t="s">
        <v>3320</v>
      </c>
    </row>
    <row r="1735" spans="1:13" ht="142.5">
      <c r="A1735" s="199">
        <v>1734</v>
      </c>
      <c r="B1735" s="199" t="s">
        <v>5049</v>
      </c>
      <c r="C1735" s="199" t="s">
        <v>34</v>
      </c>
      <c r="D1735" s="199" t="s">
        <v>35</v>
      </c>
      <c r="E1735" s="199">
        <v>20</v>
      </c>
      <c r="F1735" s="199" t="s">
        <v>679</v>
      </c>
      <c r="G1735" s="199" t="s">
        <v>4755</v>
      </c>
      <c r="H1735" s="200">
        <v>1186.5999999999999</v>
      </c>
      <c r="I1735" s="199" t="s">
        <v>20</v>
      </c>
      <c r="J1735" s="199" t="s">
        <v>415</v>
      </c>
      <c r="K1735" s="201">
        <v>45414</v>
      </c>
      <c r="L1735" s="199" t="s">
        <v>3319</v>
      </c>
      <c r="M1735" s="199" t="s">
        <v>3320</v>
      </c>
    </row>
    <row r="1736" spans="1:13" ht="114">
      <c r="A1736" s="199">
        <v>1735</v>
      </c>
      <c r="B1736" s="199" t="s">
        <v>5050</v>
      </c>
      <c r="C1736" s="199" t="s">
        <v>34</v>
      </c>
      <c r="D1736" s="199" t="s">
        <v>35</v>
      </c>
      <c r="E1736" s="199">
        <v>40</v>
      </c>
      <c r="F1736" s="199" t="s">
        <v>679</v>
      </c>
      <c r="G1736" s="199" t="s">
        <v>4755</v>
      </c>
      <c r="H1736" s="200">
        <v>3346.4</v>
      </c>
      <c r="I1736" s="199" t="s">
        <v>20</v>
      </c>
      <c r="J1736" s="199" t="s">
        <v>415</v>
      </c>
      <c r="K1736" s="201">
        <v>45414</v>
      </c>
      <c r="L1736" s="199" t="s">
        <v>3319</v>
      </c>
      <c r="M1736" s="199" t="s">
        <v>3320</v>
      </c>
    </row>
    <row r="1737" spans="1:13" ht="171">
      <c r="A1737" s="199">
        <v>1736</v>
      </c>
      <c r="B1737" s="199" t="s">
        <v>5051</v>
      </c>
      <c r="C1737" s="199" t="s">
        <v>34</v>
      </c>
      <c r="D1737" s="199" t="s">
        <v>35</v>
      </c>
      <c r="E1737" s="199">
        <v>40</v>
      </c>
      <c r="F1737" s="199" t="s">
        <v>679</v>
      </c>
      <c r="G1737" s="199" t="s">
        <v>4755</v>
      </c>
      <c r="H1737" s="200">
        <v>3407.2</v>
      </c>
      <c r="I1737" s="199" t="s">
        <v>20</v>
      </c>
      <c r="J1737" s="199" t="s">
        <v>415</v>
      </c>
      <c r="K1737" s="201">
        <v>45414</v>
      </c>
      <c r="L1737" s="199" t="s">
        <v>3319</v>
      </c>
      <c r="M1737" s="199" t="s">
        <v>3320</v>
      </c>
    </row>
    <row r="1738" spans="1:13" ht="199.5">
      <c r="A1738" s="199">
        <v>1737</v>
      </c>
      <c r="B1738" s="199" t="s">
        <v>5052</v>
      </c>
      <c r="C1738" s="199" t="s">
        <v>34</v>
      </c>
      <c r="D1738" s="199" t="s">
        <v>35</v>
      </c>
      <c r="E1738" s="199">
        <v>30</v>
      </c>
      <c r="F1738" s="199" t="s">
        <v>679</v>
      </c>
      <c r="G1738" s="199" t="s">
        <v>4755</v>
      </c>
      <c r="H1738" s="200">
        <v>2562.9</v>
      </c>
      <c r="I1738" s="199" t="s">
        <v>20</v>
      </c>
      <c r="J1738" s="199" t="s">
        <v>415</v>
      </c>
      <c r="K1738" s="201">
        <v>45414</v>
      </c>
      <c r="L1738" s="199" t="s">
        <v>3319</v>
      </c>
      <c r="M1738" s="199" t="s">
        <v>3320</v>
      </c>
    </row>
    <row r="1739" spans="1:13" ht="199.5">
      <c r="A1739" s="199">
        <v>1738</v>
      </c>
      <c r="B1739" s="199" t="s">
        <v>5053</v>
      </c>
      <c r="C1739" s="199" t="s">
        <v>34</v>
      </c>
      <c r="D1739" s="199" t="s">
        <v>35</v>
      </c>
      <c r="E1739" s="199">
        <v>30</v>
      </c>
      <c r="F1739" s="199" t="s">
        <v>679</v>
      </c>
      <c r="G1739" s="199" t="s">
        <v>4755</v>
      </c>
      <c r="H1739" s="200">
        <v>2509.8000000000002</v>
      </c>
      <c r="I1739" s="199" t="s">
        <v>20</v>
      </c>
      <c r="J1739" s="199" t="s">
        <v>415</v>
      </c>
      <c r="K1739" s="201">
        <v>45414</v>
      </c>
      <c r="L1739" s="199" t="s">
        <v>3319</v>
      </c>
      <c r="M1739" s="199" t="s">
        <v>3320</v>
      </c>
    </row>
    <row r="1740" spans="1:13" ht="185.25">
      <c r="A1740" s="199">
        <v>1739</v>
      </c>
      <c r="B1740" s="199" t="s">
        <v>5054</v>
      </c>
      <c r="C1740" s="199" t="s">
        <v>34</v>
      </c>
      <c r="D1740" s="199" t="s">
        <v>35</v>
      </c>
      <c r="E1740" s="199">
        <v>45</v>
      </c>
      <c r="F1740" s="199" t="s">
        <v>679</v>
      </c>
      <c r="G1740" s="199" t="s">
        <v>4755</v>
      </c>
      <c r="H1740" s="200">
        <v>3833.1</v>
      </c>
      <c r="I1740" s="199" t="s">
        <v>20</v>
      </c>
      <c r="J1740" s="199" t="s">
        <v>415</v>
      </c>
      <c r="K1740" s="201">
        <v>45414</v>
      </c>
      <c r="L1740" s="199" t="s">
        <v>3319</v>
      </c>
      <c r="M1740" s="199" t="s">
        <v>3320</v>
      </c>
    </row>
    <row r="1741" spans="1:13" ht="156.75">
      <c r="A1741" s="199">
        <v>1740</v>
      </c>
      <c r="B1741" s="199" t="s">
        <v>5055</v>
      </c>
      <c r="C1741" s="199" t="s">
        <v>34</v>
      </c>
      <c r="D1741" s="199" t="s">
        <v>35</v>
      </c>
      <c r="E1741" s="199">
        <v>45</v>
      </c>
      <c r="F1741" s="199" t="s">
        <v>679</v>
      </c>
      <c r="G1741" s="199" t="s">
        <v>4755</v>
      </c>
      <c r="H1741" s="200">
        <v>3844.35</v>
      </c>
      <c r="I1741" s="199" t="s">
        <v>20</v>
      </c>
      <c r="J1741" s="199" t="s">
        <v>415</v>
      </c>
      <c r="K1741" s="201">
        <v>45414</v>
      </c>
      <c r="L1741" s="199" t="s">
        <v>3319</v>
      </c>
      <c r="M1741" s="199" t="s">
        <v>3320</v>
      </c>
    </row>
    <row r="1742" spans="1:13" ht="142.5">
      <c r="A1742" s="199">
        <v>1741</v>
      </c>
      <c r="B1742" s="199" t="s">
        <v>5056</v>
      </c>
      <c r="C1742" s="199" t="s">
        <v>34</v>
      </c>
      <c r="D1742" s="199" t="s">
        <v>35</v>
      </c>
      <c r="E1742" s="199">
        <v>45</v>
      </c>
      <c r="F1742" s="199" t="s">
        <v>679</v>
      </c>
      <c r="G1742" s="199" t="s">
        <v>4755</v>
      </c>
      <c r="H1742" s="200">
        <v>3767.7</v>
      </c>
      <c r="I1742" s="199" t="s">
        <v>20</v>
      </c>
      <c r="J1742" s="199" t="s">
        <v>415</v>
      </c>
      <c r="K1742" s="201">
        <v>45414</v>
      </c>
      <c r="L1742" s="199" t="s">
        <v>3319</v>
      </c>
      <c r="M1742" s="199" t="s">
        <v>3320</v>
      </c>
    </row>
    <row r="1743" spans="1:13" ht="85.5">
      <c r="A1743" s="199">
        <v>1742</v>
      </c>
      <c r="B1743" s="199" t="s">
        <v>5057</v>
      </c>
      <c r="C1743" s="199" t="s">
        <v>34</v>
      </c>
      <c r="D1743" s="199" t="s">
        <v>35</v>
      </c>
      <c r="E1743" s="199">
        <v>3</v>
      </c>
      <c r="F1743" s="199" t="s">
        <v>3846</v>
      </c>
      <c r="G1743" s="199" t="s">
        <v>4755</v>
      </c>
      <c r="H1743" s="200">
        <v>461.37</v>
      </c>
      <c r="I1743" s="199" t="s">
        <v>20</v>
      </c>
      <c r="J1743" s="199" t="s">
        <v>415</v>
      </c>
      <c r="K1743" s="201">
        <v>45414</v>
      </c>
      <c r="L1743" s="199" t="s">
        <v>3319</v>
      </c>
      <c r="M1743" s="199" t="s">
        <v>3320</v>
      </c>
    </row>
    <row r="1744" spans="1:13" ht="85.5">
      <c r="A1744" s="199">
        <v>1743</v>
      </c>
      <c r="B1744" s="199" t="s">
        <v>5058</v>
      </c>
      <c r="C1744" s="199" t="s">
        <v>34</v>
      </c>
      <c r="D1744" s="199" t="s">
        <v>35</v>
      </c>
      <c r="E1744" s="199">
        <v>10</v>
      </c>
      <c r="F1744" s="199" t="s">
        <v>3846</v>
      </c>
      <c r="G1744" s="199" t="s">
        <v>4755</v>
      </c>
      <c r="H1744" s="200">
        <v>996.7</v>
      </c>
      <c r="I1744" s="199" t="s">
        <v>20</v>
      </c>
      <c r="J1744" s="199" t="s">
        <v>415</v>
      </c>
      <c r="K1744" s="201">
        <v>45414</v>
      </c>
      <c r="L1744" s="199" t="s">
        <v>3319</v>
      </c>
      <c r="M1744" s="199" t="s">
        <v>3320</v>
      </c>
    </row>
    <row r="1745" spans="1:13" ht="85.5">
      <c r="A1745" s="199">
        <v>1744</v>
      </c>
      <c r="B1745" s="199" t="s">
        <v>5059</v>
      </c>
      <c r="C1745" s="199" t="s">
        <v>34</v>
      </c>
      <c r="D1745" s="199" t="s">
        <v>35</v>
      </c>
      <c r="E1745" s="199">
        <v>20</v>
      </c>
      <c r="F1745" s="199" t="s">
        <v>8</v>
      </c>
      <c r="G1745" s="199" t="s">
        <v>4755</v>
      </c>
      <c r="H1745" s="200">
        <v>332.4</v>
      </c>
      <c r="I1745" s="199" t="s">
        <v>20</v>
      </c>
      <c r="J1745" s="199" t="s">
        <v>415</v>
      </c>
      <c r="K1745" s="201">
        <v>45414</v>
      </c>
      <c r="L1745" s="199" t="s">
        <v>3319</v>
      </c>
      <c r="M1745" s="199" t="s">
        <v>3320</v>
      </c>
    </row>
    <row r="1746" spans="1:13" ht="85.5">
      <c r="A1746" s="199">
        <v>1745</v>
      </c>
      <c r="B1746" s="199" t="s">
        <v>5060</v>
      </c>
      <c r="C1746" s="199" t="s">
        <v>34</v>
      </c>
      <c r="D1746" s="199" t="s">
        <v>35</v>
      </c>
      <c r="E1746" s="199">
        <v>10</v>
      </c>
      <c r="F1746" s="199" t="s">
        <v>8</v>
      </c>
      <c r="G1746" s="199" t="s">
        <v>4755</v>
      </c>
      <c r="H1746" s="200">
        <v>1183</v>
      </c>
      <c r="I1746" s="199" t="s">
        <v>20</v>
      </c>
      <c r="J1746" s="199" t="s">
        <v>415</v>
      </c>
      <c r="K1746" s="201">
        <v>45414</v>
      </c>
      <c r="L1746" s="199" t="s">
        <v>3319</v>
      </c>
      <c r="M1746" s="199" t="s">
        <v>3320</v>
      </c>
    </row>
    <row r="1747" spans="1:13" ht="85.5">
      <c r="A1747" s="199">
        <v>1746</v>
      </c>
      <c r="B1747" s="199" t="s">
        <v>5061</v>
      </c>
      <c r="C1747" s="199" t="s">
        <v>34</v>
      </c>
      <c r="D1747" s="199" t="s">
        <v>35</v>
      </c>
      <c r="E1747" s="199">
        <v>5000</v>
      </c>
      <c r="F1747" s="199" t="s">
        <v>8</v>
      </c>
      <c r="G1747" s="199" t="s">
        <v>4755</v>
      </c>
      <c r="H1747" s="200">
        <v>3550</v>
      </c>
      <c r="I1747" s="199" t="s">
        <v>20</v>
      </c>
      <c r="J1747" s="199" t="s">
        <v>415</v>
      </c>
      <c r="K1747" s="201">
        <v>45414</v>
      </c>
      <c r="L1747" s="199" t="s">
        <v>3319</v>
      </c>
      <c r="M1747" s="199" t="s">
        <v>3320</v>
      </c>
    </row>
    <row r="1748" spans="1:13" ht="85.5">
      <c r="A1748" s="199">
        <v>1747</v>
      </c>
      <c r="B1748" s="199" t="s">
        <v>5062</v>
      </c>
      <c r="C1748" s="199" t="s">
        <v>34</v>
      </c>
      <c r="D1748" s="199" t="s">
        <v>35</v>
      </c>
      <c r="E1748" s="199">
        <v>4</v>
      </c>
      <c r="F1748" s="199" t="s">
        <v>8</v>
      </c>
      <c r="G1748" s="199" t="s">
        <v>4755</v>
      </c>
      <c r="H1748" s="200">
        <v>446.2</v>
      </c>
      <c r="I1748" s="199" t="s">
        <v>20</v>
      </c>
      <c r="J1748" s="199" t="s">
        <v>415</v>
      </c>
      <c r="K1748" s="201">
        <v>45414</v>
      </c>
      <c r="L1748" s="199" t="s">
        <v>3319</v>
      </c>
      <c r="M1748" s="199" t="s">
        <v>3320</v>
      </c>
    </row>
    <row r="1749" spans="1:13" ht="85.5">
      <c r="A1749" s="199">
        <v>1748</v>
      </c>
      <c r="B1749" s="199" t="s">
        <v>5063</v>
      </c>
      <c r="C1749" s="199" t="s">
        <v>34</v>
      </c>
      <c r="D1749" s="199" t="s">
        <v>35</v>
      </c>
      <c r="E1749" s="199">
        <v>40</v>
      </c>
      <c r="F1749" s="199" t="s">
        <v>749</v>
      </c>
      <c r="G1749" s="199" t="s">
        <v>4755</v>
      </c>
      <c r="H1749" s="200">
        <v>473.2</v>
      </c>
      <c r="I1749" s="199" t="s">
        <v>20</v>
      </c>
      <c r="J1749" s="199" t="s">
        <v>415</v>
      </c>
      <c r="K1749" s="201">
        <v>45414</v>
      </c>
      <c r="L1749" s="199" t="s">
        <v>3319</v>
      </c>
      <c r="M1749" s="199" t="s">
        <v>3320</v>
      </c>
    </row>
    <row r="1750" spans="1:13" ht="85.5">
      <c r="A1750" s="199">
        <v>1749</v>
      </c>
      <c r="B1750" s="199" t="s">
        <v>5064</v>
      </c>
      <c r="C1750" s="199" t="s">
        <v>34</v>
      </c>
      <c r="D1750" s="199" t="s">
        <v>35</v>
      </c>
      <c r="E1750" s="199">
        <v>10</v>
      </c>
      <c r="F1750" s="199" t="s">
        <v>8</v>
      </c>
      <c r="G1750" s="199" t="s">
        <v>4755</v>
      </c>
      <c r="H1750" s="200">
        <v>664.4</v>
      </c>
      <c r="I1750" s="199" t="s">
        <v>20</v>
      </c>
      <c r="J1750" s="199" t="s">
        <v>415</v>
      </c>
      <c r="K1750" s="201">
        <v>45414</v>
      </c>
      <c r="L1750" s="199" t="s">
        <v>3319</v>
      </c>
      <c r="M1750" s="199" t="s">
        <v>3320</v>
      </c>
    </row>
    <row r="1751" spans="1:13" ht="171">
      <c r="A1751" s="199">
        <v>1750</v>
      </c>
      <c r="B1751" s="199" t="s">
        <v>5065</v>
      </c>
      <c r="C1751" s="199" t="s">
        <v>34</v>
      </c>
      <c r="D1751" s="199" t="s">
        <v>35</v>
      </c>
      <c r="E1751" s="199">
        <v>250</v>
      </c>
      <c r="F1751" s="199" t="s">
        <v>591</v>
      </c>
      <c r="G1751" s="199" t="s">
        <v>4755</v>
      </c>
      <c r="H1751" s="200">
        <v>35595</v>
      </c>
      <c r="I1751" s="199" t="s">
        <v>20</v>
      </c>
      <c r="J1751" s="199" t="s">
        <v>415</v>
      </c>
      <c r="K1751" s="201">
        <v>45414</v>
      </c>
      <c r="L1751" s="199" t="s">
        <v>3319</v>
      </c>
      <c r="M1751" s="199" t="s">
        <v>3320</v>
      </c>
    </row>
    <row r="1752" spans="1:13" ht="213.75">
      <c r="A1752" s="199">
        <v>1751</v>
      </c>
      <c r="B1752" s="199" t="s">
        <v>5066</v>
      </c>
      <c r="C1752" s="199" t="s">
        <v>34</v>
      </c>
      <c r="D1752" s="199" t="s">
        <v>35</v>
      </c>
      <c r="E1752" s="199">
        <v>500</v>
      </c>
      <c r="F1752" s="199" t="s">
        <v>591</v>
      </c>
      <c r="G1752" s="199" t="s">
        <v>4755</v>
      </c>
      <c r="H1752" s="200">
        <v>58100</v>
      </c>
      <c r="I1752" s="199" t="s">
        <v>20</v>
      </c>
      <c r="J1752" s="199" t="s">
        <v>415</v>
      </c>
      <c r="K1752" s="201">
        <v>45414</v>
      </c>
      <c r="L1752" s="199" t="s">
        <v>3319</v>
      </c>
      <c r="M1752" s="199" t="s">
        <v>3320</v>
      </c>
    </row>
    <row r="1753" spans="1:13" ht="185.25">
      <c r="A1753" s="199">
        <v>1752</v>
      </c>
      <c r="B1753" s="199" t="s">
        <v>5067</v>
      </c>
      <c r="C1753" s="199" t="s">
        <v>34</v>
      </c>
      <c r="D1753" s="199" t="s">
        <v>35</v>
      </c>
      <c r="E1753" s="199">
        <v>200</v>
      </c>
      <c r="F1753" s="199" t="s">
        <v>591</v>
      </c>
      <c r="G1753" s="199" t="s">
        <v>4755</v>
      </c>
      <c r="H1753" s="200">
        <v>23660</v>
      </c>
      <c r="I1753" s="199" t="s">
        <v>20</v>
      </c>
      <c r="J1753" s="199" t="s">
        <v>415</v>
      </c>
      <c r="K1753" s="201">
        <v>45414</v>
      </c>
      <c r="L1753" s="199" t="s">
        <v>3319</v>
      </c>
      <c r="M1753" s="199" t="s">
        <v>3320</v>
      </c>
    </row>
    <row r="1754" spans="1:13" ht="171">
      <c r="A1754" s="199">
        <v>1753</v>
      </c>
      <c r="B1754" s="199" t="s">
        <v>5068</v>
      </c>
      <c r="C1754" s="199" t="s">
        <v>34</v>
      </c>
      <c r="D1754" s="199" t="s">
        <v>35</v>
      </c>
      <c r="E1754" s="199">
        <v>20</v>
      </c>
      <c r="F1754" s="199" t="s">
        <v>8</v>
      </c>
      <c r="G1754" s="199" t="s">
        <v>4755</v>
      </c>
      <c r="H1754" s="200">
        <v>386.8</v>
      </c>
      <c r="I1754" s="199" t="s">
        <v>20</v>
      </c>
      <c r="J1754" s="199" t="s">
        <v>415</v>
      </c>
      <c r="K1754" s="201">
        <v>45414</v>
      </c>
      <c r="L1754" s="199" t="s">
        <v>3319</v>
      </c>
      <c r="M1754" s="199" t="s">
        <v>3320</v>
      </c>
    </row>
    <row r="1755" spans="1:13" ht="85.5">
      <c r="A1755" s="199">
        <v>1754</v>
      </c>
      <c r="B1755" s="199" t="s">
        <v>5069</v>
      </c>
      <c r="C1755" s="199" t="s">
        <v>34</v>
      </c>
      <c r="D1755" s="199" t="s">
        <v>35</v>
      </c>
      <c r="E1755" s="199">
        <v>500</v>
      </c>
      <c r="F1755" s="199" t="s">
        <v>4644</v>
      </c>
      <c r="G1755" s="199" t="s">
        <v>4755</v>
      </c>
      <c r="H1755" s="200">
        <v>5810</v>
      </c>
      <c r="I1755" s="199" t="s">
        <v>20</v>
      </c>
      <c r="J1755" s="199" t="s">
        <v>415</v>
      </c>
      <c r="K1755" s="201">
        <v>45414</v>
      </c>
      <c r="L1755" s="199" t="s">
        <v>3319</v>
      </c>
      <c r="M1755" s="199" t="s">
        <v>3320</v>
      </c>
    </row>
    <row r="1756" spans="1:13" ht="85.5">
      <c r="A1756" s="199">
        <v>1755</v>
      </c>
      <c r="B1756" s="199" t="s">
        <v>5070</v>
      </c>
      <c r="C1756" s="199" t="s">
        <v>34</v>
      </c>
      <c r="D1756" s="199" t="s">
        <v>35</v>
      </c>
      <c r="E1756" s="199">
        <v>10</v>
      </c>
      <c r="F1756" s="199" t="s">
        <v>8</v>
      </c>
      <c r="G1756" s="199" t="s">
        <v>4755</v>
      </c>
      <c r="H1756" s="200">
        <v>5796.7</v>
      </c>
      <c r="I1756" s="199" t="s">
        <v>20</v>
      </c>
      <c r="J1756" s="199" t="s">
        <v>415</v>
      </c>
      <c r="K1756" s="201">
        <v>45414</v>
      </c>
      <c r="L1756" s="199" t="s">
        <v>3319</v>
      </c>
      <c r="M1756" s="199" t="s">
        <v>3320</v>
      </c>
    </row>
    <row r="1757" spans="1:13" ht="242.25">
      <c r="A1757" s="199">
        <v>1756</v>
      </c>
      <c r="B1757" s="199" t="s">
        <v>5071</v>
      </c>
      <c r="C1757" s="199" t="s">
        <v>34</v>
      </c>
      <c r="D1757" s="199" t="s">
        <v>35</v>
      </c>
      <c r="E1757" s="199">
        <v>500</v>
      </c>
      <c r="F1757" s="199" t="s">
        <v>4644</v>
      </c>
      <c r="G1757" s="199" t="s">
        <v>4755</v>
      </c>
      <c r="H1757" s="200">
        <v>33220</v>
      </c>
      <c r="I1757" s="199" t="s">
        <v>20</v>
      </c>
      <c r="J1757" s="199" t="s">
        <v>415</v>
      </c>
      <c r="K1757" s="201">
        <v>45414</v>
      </c>
      <c r="L1757" s="199" t="s">
        <v>3319</v>
      </c>
      <c r="M1757" s="199" t="s">
        <v>3320</v>
      </c>
    </row>
    <row r="1758" spans="1:13" ht="242.25">
      <c r="A1758" s="199">
        <v>1757</v>
      </c>
      <c r="B1758" s="199" t="s">
        <v>5072</v>
      </c>
      <c r="C1758" s="199" t="s">
        <v>34</v>
      </c>
      <c r="D1758" s="199" t="s">
        <v>35</v>
      </c>
      <c r="E1758" s="199">
        <v>400</v>
      </c>
      <c r="F1758" s="199" t="s">
        <v>4644</v>
      </c>
      <c r="G1758" s="199" t="s">
        <v>4755</v>
      </c>
      <c r="H1758" s="200">
        <v>39044</v>
      </c>
      <c r="I1758" s="199" t="s">
        <v>20</v>
      </c>
      <c r="J1758" s="199" t="s">
        <v>415</v>
      </c>
      <c r="K1758" s="201">
        <v>45414</v>
      </c>
      <c r="L1758" s="199" t="s">
        <v>3319</v>
      </c>
      <c r="M1758" s="199" t="s">
        <v>3320</v>
      </c>
    </row>
    <row r="1759" spans="1:13" ht="228">
      <c r="A1759" s="199">
        <v>1758</v>
      </c>
      <c r="B1759" s="199" t="s">
        <v>5073</v>
      </c>
      <c r="C1759" s="199" t="s">
        <v>34</v>
      </c>
      <c r="D1759" s="199" t="s">
        <v>35</v>
      </c>
      <c r="E1759" s="199">
        <v>400</v>
      </c>
      <c r="F1759" s="199" t="s">
        <v>8</v>
      </c>
      <c r="G1759" s="199" t="s">
        <v>4755</v>
      </c>
      <c r="H1759" s="200">
        <v>51104</v>
      </c>
      <c r="I1759" s="199" t="s">
        <v>20</v>
      </c>
      <c r="J1759" s="199" t="s">
        <v>415</v>
      </c>
      <c r="K1759" s="201">
        <v>45414</v>
      </c>
      <c r="L1759" s="199" t="s">
        <v>3319</v>
      </c>
      <c r="M1759" s="199" t="s">
        <v>3320</v>
      </c>
    </row>
    <row r="1760" spans="1:13" ht="242.25">
      <c r="A1760" s="199">
        <v>1759</v>
      </c>
      <c r="B1760" s="199" t="s">
        <v>5074</v>
      </c>
      <c r="C1760" s="199" t="s">
        <v>34</v>
      </c>
      <c r="D1760" s="199" t="s">
        <v>35</v>
      </c>
      <c r="E1760" s="199">
        <v>300</v>
      </c>
      <c r="F1760" s="199" t="s">
        <v>4644</v>
      </c>
      <c r="G1760" s="199" t="s">
        <v>4755</v>
      </c>
      <c r="H1760" s="200">
        <v>52680</v>
      </c>
      <c r="I1760" s="199" t="s">
        <v>20</v>
      </c>
      <c r="J1760" s="199" t="s">
        <v>415</v>
      </c>
      <c r="K1760" s="201">
        <v>45414</v>
      </c>
      <c r="L1760" s="199" t="s">
        <v>3319</v>
      </c>
      <c r="M1760" s="199" t="s">
        <v>3320</v>
      </c>
    </row>
    <row r="1761" spans="1:13" ht="85.5">
      <c r="A1761" s="199">
        <v>1760</v>
      </c>
      <c r="B1761" s="199" t="s">
        <v>5075</v>
      </c>
      <c r="C1761" s="199" t="s">
        <v>34</v>
      </c>
      <c r="D1761" s="199" t="s">
        <v>35</v>
      </c>
      <c r="E1761" s="199">
        <v>80</v>
      </c>
      <c r="F1761" s="199" t="s">
        <v>4644</v>
      </c>
      <c r="G1761" s="199" t="s">
        <v>4755</v>
      </c>
      <c r="H1761" s="200">
        <v>20079.2</v>
      </c>
      <c r="I1761" s="199" t="s">
        <v>20</v>
      </c>
      <c r="J1761" s="199" t="s">
        <v>415</v>
      </c>
      <c r="K1761" s="201">
        <v>45414</v>
      </c>
      <c r="L1761" s="199" t="s">
        <v>3319</v>
      </c>
      <c r="M1761" s="199" t="s">
        <v>3320</v>
      </c>
    </row>
    <row r="1762" spans="1:13" ht="85.5">
      <c r="A1762" s="199">
        <v>1761</v>
      </c>
      <c r="B1762" s="199" t="s">
        <v>5076</v>
      </c>
      <c r="C1762" s="199" t="s">
        <v>34</v>
      </c>
      <c r="D1762" s="199" t="s">
        <v>35</v>
      </c>
      <c r="E1762" s="199">
        <v>300</v>
      </c>
      <c r="F1762" s="199" t="s">
        <v>679</v>
      </c>
      <c r="G1762" s="199" t="s">
        <v>4755</v>
      </c>
      <c r="H1762" s="200">
        <v>49686</v>
      </c>
      <c r="I1762" s="199" t="s">
        <v>20</v>
      </c>
      <c r="J1762" s="199" t="s">
        <v>415</v>
      </c>
      <c r="K1762" s="201">
        <v>45414</v>
      </c>
      <c r="L1762" s="199" t="s">
        <v>3319</v>
      </c>
      <c r="M1762" s="199" t="s">
        <v>3320</v>
      </c>
    </row>
    <row r="1763" spans="1:13" ht="99.75">
      <c r="A1763" s="199">
        <v>1762</v>
      </c>
      <c r="B1763" s="199" t="s">
        <v>5077</v>
      </c>
      <c r="C1763" s="199" t="s">
        <v>34</v>
      </c>
      <c r="D1763" s="199" t="s">
        <v>35</v>
      </c>
      <c r="E1763" s="199">
        <v>300</v>
      </c>
      <c r="F1763" s="199" t="s">
        <v>2378</v>
      </c>
      <c r="G1763" s="199" t="s">
        <v>4755</v>
      </c>
      <c r="H1763" s="200">
        <v>20361</v>
      </c>
      <c r="I1763" s="199" t="s">
        <v>20</v>
      </c>
      <c r="J1763" s="199" t="s">
        <v>415</v>
      </c>
      <c r="K1763" s="201">
        <v>45414</v>
      </c>
      <c r="L1763" s="199" t="s">
        <v>3319</v>
      </c>
      <c r="M1763" s="199" t="s">
        <v>3320</v>
      </c>
    </row>
    <row r="1764" spans="1:13" ht="85.5">
      <c r="A1764" s="199">
        <v>1763</v>
      </c>
      <c r="B1764" s="199" t="s">
        <v>5078</v>
      </c>
      <c r="C1764" s="199" t="s">
        <v>34</v>
      </c>
      <c r="D1764" s="199" t="s">
        <v>35</v>
      </c>
      <c r="E1764" s="199">
        <v>3000</v>
      </c>
      <c r="F1764" s="199" t="s">
        <v>508</v>
      </c>
      <c r="G1764" s="199" t="s">
        <v>4755</v>
      </c>
      <c r="H1764" s="200">
        <v>131760</v>
      </c>
      <c r="I1764" s="199" t="s">
        <v>20</v>
      </c>
      <c r="J1764" s="199" t="s">
        <v>415</v>
      </c>
      <c r="K1764" s="201">
        <v>45414</v>
      </c>
      <c r="L1764" s="199" t="s">
        <v>3319</v>
      </c>
      <c r="M1764" s="199" t="s">
        <v>3320</v>
      </c>
    </row>
    <row r="1765" spans="1:13" ht="85.5">
      <c r="A1765" s="199">
        <v>1764</v>
      </c>
      <c r="B1765" s="199" t="s">
        <v>5079</v>
      </c>
      <c r="C1765" s="199" t="s">
        <v>34</v>
      </c>
      <c r="D1765" s="199" t="s">
        <v>35</v>
      </c>
      <c r="E1765" s="199">
        <v>100</v>
      </c>
      <c r="F1765" s="199" t="s">
        <v>2378</v>
      </c>
      <c r="G1765" s="199" t="s">
        <v>4755</v>
      </c>
      <c r="H1765" s="200">
        <v>11593</v>
      </c>
      <c r="I1765" s="199" t="s">
        <v>20</v>
      </c>
      <c r="J1765" s="199" t="s">
        <v>415</v>
      </c>
      <c r="K1765" s="201">
        <v>45414</v>
      </c>
      <c r="L1765" s="199" t="s">
        <v>3319</v>
      </c>
      <c r="M1765" s="199" t="s">
        <v>3320</v>
      </c>
    </row>
    <row r="1766" spans="1:13" ht="85.5">
      <c r="A1766" s="199">
        <v>1765</v>
      </c>
      <c r="B1766" s="199" t="s">
        <v>5080</v>
      </c>
      <c r="C1766" s="199" t="s">
        <v>34</v>
      </c>
      <c r="D1766" s="199" t="s">
        <v>35</v>
      </c>
      <c r="E1766" s="199">
        <v>50</v>
      </c>
      <c r="F1766" s="199" t="s">
        <v>8</v>
      </c>
      <c r="G1766" s="199" t="s">
        <v>4755</v>
      </c>
      <c r="H1766" s="200">
        <v>1163</v>
      </c>
      <c r="I1766" s="199" t="s">
        <v>20</v>
      </c>
      <c r="J1766" s="199" t="s">
        <v>415</v>
      </c>
      <c r="K1766" s="201">
        <v>45414</v>
      </c>
      <c r="L1766" s="199" t="s">
        <v>3319</v>
      </c>
      <c r="M1766" s="199" t="s">
        <v>3320</v>
      </c>
    </row>
    <row r="1767" spans="1:13" ht="85.5">
      <c r="A1767" s="199">
        <v>1766</v>
      </c>
      <c r="B1767" s="199" t="s">
        <v>5081</v>
      </c>
      <c r="C1767" s="199" t="s">
        <v>34</v>
      </c>
      <c r="D1767" s="199" t="s">
        <v>35</v>
      </c>
      <c r="E1767" s="199">
        <v>500</v>
      </c>
      <c r="F1767" s="199" t="s">
        <v>4644</v>
      </c>
      <c r="G1767" s="199" t="s">
        <v>4755</v>
      </c>
      <c r="H1767" s="200">
        <v>171975</v>
      </c>
      <c r="I1767" s="199" t="s">
        <v>20</v>
      </c>
      <c r="J1767" s="199" t="s">
        <v>415</v>
      </c>
      <c r="K1767" s="201">
        <v>45414</v>
      </c>
      <c r="L1767" s="199" t="s">
        <v>3319</v>
      </c>
      <c r="M1767" s="199" t="s">
        <v>3320</v>
      </c>
    </row>
    <row r="1768" spans="1:13" ht="85.5">
      <c r="A1768" s="199">
        <v>1767</v>
      </c>
      <c r="B1768" s="199" t="s">
        <v>5082</v>
      </c>
      <c r="C1768" s="199" t="s">
        <v>34</v>
      </c>
      <c r="D1768" s="199" t="s">
        <v>35</v>
      </c>
      <c r="E1768" s="199">
        <v>150</v>
      </c>
      <c r="F1768" s="199" t="s">
        <v>2378</v>
      </c>
      <c r="G1768" s="199" t="s">
        <v>4755</v>
      </c>
      <c r="H1768" s="200">
        <v>1395</v>
      </c>
      <c r="I1768" s="199" t="s">
        <v>20</v>
      </c>
      <c r="J1768" s="199" t="s">
        <v>415</v>
      </c>
      <c r="K1768" s="201">
        <v>45414</v>
      </c>
      <c r="L1768" s="199" t="s">
        <v>3319</v>
      </c>
      <c r="M1768" s="199" t="s">
        <v>3320</v>
      </c>
    </row>
    <row r="1769" spans="1:13" ht="85.5">
      <c r="A1769" s="199">
        <v>1768</v>
      </c>
      <c r="B1769" s="199" t="s">
        <v>5083</v>
      </c>
      <c r="C1769" s="199" t="s">
        <v>34</v>
      </c>
      <c r="D1769" s="199" t="s">
        <v>35</v>
      </c>
      <c r="E1769" s="199">
        <v>120</v>
      </c>
      <c r="F1769" s="199" t="s">
        <v>8</v>
      </c>
      <c r="G1769" s="199" t="s">
        <v>4755</v>
      </c>
      <c r="H1769" s="200">
        <v>993.6</v>
      </c>
      <c r="I1769" s="199" t="s">
        <v>20</v>
      </c>
      <c r="J1769" s="199" t="s">
        <v>415</v>
      </c>
      <c r="K1769" s="201">
        <v>45414</v>
      </c>
      <c r="L1769" s="199" t="s">
        <v>3319</v>
      </c>
      <c r="M1769" s="199" t="s">
        <v>3320</v>
      </c>
    </row>
    <row r="1770" spans="1:13" ht="85.5">
      <c r="A1770" s="199">
        <v>1769</v>
      </c>
      <c r="B1770" s="199" t="s">
        <v>5084</v>
      </c>
      <c r="C1770" s="199" t="s">
        <v>34</v>
      </c>
      <c r="D1770" s="199" t="s">
        <v>35</v>
      </c>
      <c r="E1770" s="199">
        <v>30</v>
      </c>
      <c r="F1770" s="199" t="s">
        <v>8</v>
      </c>
      <c r="G1770" s="199" t="s">
        <v>4755</v>
      </c>
      <c r="H1770" s="200">
        <v>709.8</v>
      </c>
      <c r="I1770" s="199" t="s">
        <v>20</v>
      </c>
      <c r="J1770" s="199" t="s">
        <v>415</v>
      </c>
      <c r="K1770" s="201">
        <v>45414</v>
      </c>
      <c r="L1770" s="199" t="s">
        <v>3319</v>
      </c>
      <c r="M1770" s="199" t="s">
        <v>3320</v>
      </c>
    </row>
    <row r="1771" spans="1:13" ht="85.5">
      <c r="A1771" s="199">
        <v>1770</v>
      </c>
      <c r="B1771" s="199" t="s">
        <v>5085</v>
      </c>
      <c r="C1771" s="199" t="s">
        <v>34</v>
      </c>
      <c r="D1771" s="199" t="s">
        <v>35</v>
      </c>
      <c r="E1771" s="199">
        <v>200</v>
      </c>
      <c r="F1771" s="199" t="s">
        <v>749</v>
      </c>
      <c r="G1771" s="199" t="s">
        <v>4755</v>
      </c>
      <c r="H1771" s="200">
        <v>4746</v>
      </c>
      <c r="I1771" s="199" t="s">
        <v>20</v>
      </c>
      <c r="J1771" s="199" t="s">
        <v>415</v>
      </c>
      <c r="K1771" s="201">
        <v>45414</v>
      </c>
      <c r="L1771" s="199" t="s">
        <v>3319</v>
      </c>
      <c r="M1771" s="199" t="s">
        <v>3320</v>
      </c>
    </row>
    <row r="1772" spans="1:13" ht="85.5">
      <c r="A1772" s="199">
        <v>1771</v>
      </c>
      <c r="B1772" s="199" t="s">
        <v>5086</v>
      </c>
      <c r="C1772" s="199" t="s">
        <v>34</v>
      </c>
      <c r="D1772" s="199" t="s">
        <v>35</v>
      </c>
      <c r="E1772" s="199">
        <v>50</v>
      </c>
      <c r="F1772" s="199" t="s">
        <v>8</v>
      </c>
      <c r="G1772" s="199" t="s">
        <v>4755</v>
      </c>
      <c r="H1772" s="200">
        <v>255.5</v>
      </c>
      <c r="I1772" s="199" t="s">
        <v>20</v>
      </c>
      <c r="J1772" s="199" t="s">
        <v>415</v>
      </c>
      <c r="K1772" s="201">
        <v>45414</v>
      </c>
      <c r="L1772" s="199" t="s">
        <v>3319</v>
      </c>
      <c r="M1772" s="199" t="s">
        <v>3320</v>
      </c>
    </row>
    <row r="1773" spans="1:13" ht="128.25">
      <c r="A1773" s="199">
        <v>1772</v>
      </c>
      <c r="B1773" s="199" t="s">
        <v>5087</v>
      </c>
      <c r="C1773" s="199" t="s">
        <v>34</v>
      </c>
      <c r="D1773" s="199" t="s">
        <v>35</v>
      </c>
      <c r="E1773" s="199">
        <v>10</v>
      </c>
      <c r="F1773" s="199" t="s">
        <v>8</v>
      </c>
      <c r="G1773" s="199" t="s">
        <v>4755</v>
      </c>
      <c r="H1773" s="200">
        <v>828.1</v>
      </c>
      <c r="I1773" s="199" t="s">
        <v>20</v>
      </c>
      <c r="J1773" s="199" t="s">
        <v>415</v>
      </c>
      <c r="K1773" s="201">
        <v>45414</v>
      </c>
      <c r="L1773" s="199" t="s">
        <v>3319</v>
      </c>
      <c r="M1773" s="199" t="s">
        <v>3320</v>
      </c>
    </row>
    <row r="1774" spans="1:13" ht="85.5">
      <c r="A1774" s="199">
        <v>1773</v>
      </c>
      <c r="B1774" s="199" t="s">
        <v>5088</v>
      </c>
      <c r="C1774" s="199" t="s">
        <v>34</v>
      </c>
      <c r="D1774" s="199" t="s">
        <v>35</v>
      </c>
      <c r="E1774" s="199">
        <v>10</v>
      </c>
      <c r="F1774" s="199" t="s">
        <v>8</v>
      </c>
      <c r="G1774" s="199" t="s">
        <v>4755</v>
      </c>
      <c r="H1774" s="200">
        <v>1091.5999999999999</v>
      </c>
      <c r="I1774" s="199" t="s">
        <v>20</v>
      </c>
      <c r="J1774" s="199" t="s">
        <v>415</v>
      </c>
      <c r="K1774" s="201">
        <v>45414</v>
      </c>
      <c r="L1774" s="199" t="s">
        <v>3319</v>
      </c>
      <c r="M1774" s="199" t="s">
        <v>3320</v>
      </c>
    </row>
    <row r="1775" spans="1:13" ht="85.5">
      <c r="A1775" s="199">
        <v>1774</v>
      </c>
      <c r="B1775" s="199" t="s">
        <v>5089</v>
      </c>
      <c r="C1775" s="199" t="s">
        <v>34</v>
      </c>
      <c r="D1775" s="199" t="s">
        <v>35</v>
      </c>
      <c r="E1775" s="199">
        <v>10</v>
      </c>
      <c r="F1775" s="199" t="s">
        <v>8</v>
      </c>
      <c r="G1775" s="199" t="s">
        <v>4755</v>
      </c>
      <c r="H1775" s="200">
        <v>1069</v>
      </c>
      <c r="I1775" s="199" t="s">
        <v>20</v>
      </c>
      <c r="J1775" s="199" t="s">
        <v>415</v>
      </c>
      <c r="K1775" s="201">
        <v>45414</v>
      </c>
      <c r="L1775" s="199" t="s">
        <v>3319</v>
      </c>
      <c r="M1775" s="199" t="s">
        <v>3320</v>
      </c>
    </row>
    <row r="1776" spans="1:13" ht="85.5">
      <c r="A1776" s="199">
        <v>1775</v>
      </c>
      <c r="B1776" s="199" t="s">
        <v>5090</v>
      </c>
      <c r="C1776" s="199" t="s">
        <v>34</v>
      </c>
      <c r="D1776" s="199" t="s">
        <v>35</v>
      </c>
      <c r="E1776" s="199">
        <v>20</v>
      </c>
      <c r="F1776" s="199" t="s">
        <v>749</v>
      </c>
      <c r="G1776" s="199" t="s">
        <v>4755</v>
      </c>
      <c r="H1776" s="200">
        <v>1656.2</v>
      </c>
      <c r="I1776" s="199" t="s">
        <v>20</v>
      </c>
      <c r="J1776" s="199" t="s">
        <v>415</v>
      </c>
      <c r="K1776" s="201">
        <v>45414</v>
      </c>
      <c r="L1776" s="199" t="s">
        <v>3319</v>
      </c>
      <c r="M1776" s="199" t="s">
        <v>3320</v>
      </c>
    </row>
    <row r="1777" spans="1:13" ht="85.5">
      <c r="A1777" s="199">
        <v>1776</v>
      </c>
      <c r="B1777" s="199" t="s">
        <v>5091</v>
      </c>
      <c r="C1777" s="199" t="s">
        <v>34</v>
      </c>
      <c r="D1777" s="199" t="s">
        <v>35</v>
      </c>
      <c r="E1777" s="199">
        <v>40</v>
      </c>
      <c r="F1777" s="199" t="s">
        <v>8</v>
      </c>
      <c r="G1777" s="199" t="s">
        <v>4755</v>
      </c>
      <c r="H1777" s="200">
        <v>760.4</v>
      </c>
      <c r="I1777" s="199" t="s">
        <v>20</v>
      </c>
      <c r="J1777" s="199" t="s">
        <v>415</v>
      </c>
      <c r="K1777" s="201">
        <v>45414</v>
      </c>
      <c r="L1777" s="199" t="s">
        <v>3319</v>
      </c>
      <c r="M1777" s="199" t="s">
        <v>3320</v>
      </c>
    </row>
    <row r="1778" spans="1:13" ht="85.5">
      <c r="A1778" s="199">
        <v>1777</v>
      </c>
      <c r="B1778" s="199" t="s">
        <v>5092</v>
      </c>
      <c r="C1778" s="199" t="s">
        <v>34</v>
      </c>
      <c r="D1778" s="199" t="s">
        <v>35</v>
      </c>
      <c r="E1778" s="199">
        <v>40</v>
      </c>
      <c r="F1778" s="199" t="s">
        <v>8</v>
      </c>
      <c r="G1778" s="199" t="s">
        <v>4755</v>
      </c>
      <c r="H1778" s="200">
        <v>744.4</v>
      </c>
      <c r="I1778" s="199" t="s">
        <v>20</v>
      </c>
      <c r="J1778" s="199" t="s">
        <v>415</v>
      </c>
      <c r="K1778" s="201">
        <v>45414</v>
      </c>
      <c r="L1778" s="199" t="s">
        <v>3319</v>
      </c>
      <c r="M1778" s="199" t="s">
        <v>3320</v>
      </c>
    </row>
    <row r="1779" spans="1:13" ht="85.5">
      <c r="A1779" s="199">
        <v>1778</v>
      </c>
      <c r="B1779" s="199" t="s">
        <v>5093</v>
      </c>
      <c r="C1779" s="199" t="s">
        <v>34</v>
      </c>
      <c r="D1779" s="199" t="s">
        <v>35</v>
      </c>
      <c r="E1779" s="199">
        <v>40</v>
      </c>
      <c r="F1779" s="199" t="s">
        <v>8</v>
      </c>
      <c r="G1779" s="199" t="s">
        <v>4755</v>
      </c>
      <c r="H1779" s="200">
        <v>758</v>
      </c>
      <c r="I1779" s="199" t="s">
        <v>20</v>
      </c>
      <c r="J1779" s="199" t="s">
        <v>415</v>
      </c>
      <c r="K1779" s="201">
        <v>45414</v>
      </c>
      <c r="L1779" s="199" t="s">
        <v>3319</v>
      </c>
      <c r="M1779" s="199" t="s">
        <v>3320</v>
      </c>
    </row>
    <row r="1780" spans="1:13" ht="85.5">
      <c r="A1780" s="199">
        <v>1779</v>
      </c>
      <c r="B1780" s="199" t="s">
        <v>5094</v>
      </c>
      <c r="C1780" s="199" t="s">
        <v>34</v>
      </c>
      <c r="D1780" s="199" t="s">
        <v>35</v>
      </c>
      <c r="E1780" s="199">
        <v>40</v>
      </c>
      <c r="F1780" s="199" t="s">
        <v>8</v>
      </c>
      <c r="G1780" s="199" t="s">
        <v>4755</v>
      </c>
      <c r="H1780" s="200">
        <v>760.4</v>
      </c>
      <c r="I1780" s="199" t="s">
        <v>20</v>
      </c>
      <c r="J1780" s="199" t="s">
        <v>415</v>
      </c>
      <c r="K1780" s="201">
        <v>45414</v>
      </c>
      <c r="L1780" s="199" t="s">
        <v>3319</v>
      </c>
      <c r="M1780" s="199" t="s">
        <v>3320</v>
      </c>
    </row>
    <row r="1781" spans="1:13" ht="85.5">
      <c r="A1781" s="199">
        <v>1780</v>
      </c>
      <c r="B1781" s="199" t="s">
        <v>5095</v>
      </c>
      <c r="C1781" s="199" t="s">
        <v>34</v>
      </c>
      <c r="D1781" s="199" t="s">
        <v>35</v>
      </c>
      <c r="E1781" s="199">
        <v>40</v>
      </c>
      <c r="F1781" s="199" t="s">
        <v>8</v>
      </c>
      <c r="G1781" s="199" t="s">
        <v>4755</v>
      </c>
      <c r="H1781" s="200">
        <v>744.4</v>
      </c>
      <c r="I1781" s="199" t="s">
        <v>20</v>
      </c>
      <c r="J1781" s="199" t="s">
        <v>415</v>
      </c>
      <c r="K1781" s="201">
        <v>45414</v>
      </c>
      <c r="L1781" s="199" t="s">
        <v>3319</v>
      </c>
      <c r="M1781" s="199" t="s">
        <v>3320</v>
      </c>
    </row>
    <row r="1782" spans="1:13" ht="85.5">
      <c r="A1782" s="199">
        <v>1781</v>
      </c>
      <c r="B1782" s="199" t="s">
        <v>5096</v>
      </c>
      <c r="C1782" s="199" t="s">
        <v>34</v>
      </c>
      <c r="D1782" s="199" t="s">
        <v>35</v>
      </c>
      <c r="E1782" s="199">
        <v>40</v>
      </c>
      <c r="F1782" s="199" t="s">
        <v>8</v>
      </c>
      <c r="G1782" s="199" t="s">
        <v>4755</v>
      </c>
      <c r="H1782" s="200">
        <v>758</v>
      </c>
      <c r="I1782" s="199" t="s">
        <v>20</v>
      </c>
      <c r="J1782" s="199" t="s">
        <v>415</v>
      </c>
      <c r="K1782" s="201">
        <v>45414</v>
      </c>
      <c r="L1782" s="199" t="s">
        <v>3319</v>
      </c>
      <c r="M1782" s="199" t="s">
        <v>3320</v>
      </c>
    </row>
    <row r="1783" spans="1:13" ht="85.5">
      <c r="A1783" s="199">
        <v>1782</v>
      </c>
      <c r="B1783" s="199" t="s">
        <v>5097</v>
      </c>
      <c r="C1783" s="199" t="s">
        <v>34</v>
      </c>
      <c r="D1783" s="199" t="s">
        <v>35</v>
      </c>
      <c r="E1783" s="199">
        <v>40</v>
      </c>
      <c r="F1783" s="199" t="s">
        <v>8</v>
      </c>
      <c r="G1783" s="199" t="s">
        <v>4755</v>
      </c>
      <c r="H1783" s="200">
        <v>935.2</v>
      </c>
      <c r="I1783" s="199" t="s">
        <v>20</v>
      </c>
      <c r="J1783" s="199" t="s">
        <v>415</v>
      </c>
      <c r="K1783" s="201">
        <v>45414</v>
      </c>
      <c r="L1783" s="199" t="s">
        <v>3319</v>
      </c>
      <c r="M1783" s="199" t="s">
        <v>3320</v>
      </c>
    </row>
    <row r="1784" spans="1:13" ht="99.75">
      <c r="A1784" s="199">
        <v>1783</v>
      </c>
      <c r="B1784" s="199" t="s">
        <v>5098</v>
      </c>
      <c r="C1784" s="199" t="s">
        <v>34</v>
      </c>
      <c r="D1784" s="199" t="s">
        <v>35</v>
      </c>
      <c r="E1784" s="199">
        <v>250</v>
      </c>
      <c r="F1784" s="199" t="s">
        <v>8</v>
      </c>
      <c r="G1784" s="199" t="s">
        <v>4755</v>
      </c>
      <c r="H1784" s="200">
        <v>14525</v>
      </c>
      <c r="I1784" s="199" t="s">
        <v>20</v>
      </c>
      <c r="J1784" s="199" t="s">
        <v>415</v>
      </c>
      <c r="K1784" s="201">
        <v>45414</v>
      </c>
      <c r="L1784" s="199" t="s">
        <v>3319</v>
      </c>
      <c r="M1784" s="199" t="s">
        <v>3320</v>
      </c>
    </row>
    <row r="1785" spans="1:13" ht="85.5">
      <c r="A1785" s="199">
        <v>1784</v>
      </c>
      <c r="B1785" s="199" t="s">
        <v>5099</v>
      </c>
      <c r="C1785" s="199" t="s">
        <v>34</v>
      </c>
      <c r="D1785" s="199" t="s">
        <v>35</v>
      </c>
      <c r="E1785" s="199">
        <v>1000</v>
      </c>
      <c r="F1785" s="199" t="s">
        <v>8</v>
      </c>
      <c r="G1785" s="199" t="s">
        <v>4755</v>
      </c>
      <c r="H1785" s="200">
        <v>3380</v>
      </c>
      <c r="I1785" s="199" t="s">
        <v>20</v>
      </c>
      <c r="J1785" s="199" t="s">
        <v>415</v>
      </c>
      <c r="K1785" s="201">
        <v>45414</v>
      </c>
      <c r="L1785" s="199" t="s">
        <v>3319</v>
      </c>
      <c r="M1785" s="199" t="s">
        <v>3320</v>
      </c>
    </row>
    <row r="1786" spans="1:13" ht="85.5">
      <c r="A1786" s="199">
        <v>1785</v>
      </c>
      <c r="B1786" s="199" t="s">
        <v>5100</v>
      </c>
      <c r="C1786" s="199" t="s">
        <v>34</v>
      </c>
      <c r="D1786" s="199" t="s">
        <v>35</v>
      </c>
      <c r="E1786" s="199">
        <v>50</v>
      </c>
      <c r="F1786" s="199" t="s">
        <v>2378</v>
      </c>
      <c r="G1786" s="199" t="s">
        <v>4755</v>
      </c>
      <c r="H1786" s="200">
        <v>593.5</v>
      </c>
      <c r="I1786" s="199" t="s">
        <v>20</v>
      </c>
      <c r="J1786" s="199" t="s">
        <v>415</v>
      </c>
      <c r="K1786" s="201">
        <v>45414</v>
      </c>
      <c r="L1786" s="199" t="s">
        <v>3319</v>
      </c>
      <c r="M1786" s="199" t="s">
        <v>3320</v>
      </c>
    </row>
    <row r="1787" spans="1:13" ht="85.5">
      <c r="A1787" s="199">
        <v>1786</v>
      </c>
      <c r="B1787" s="199" t="s">
        <v>5101</v>
      </c>
      <c r="C1787" s="199" t="s">
        <v>34</v>
      </c>
      <c r="D1787" s="199" t="s">
        <v>35</v>
      </c>
      <c r="E1787" s="199">
        <v>300</v>
      </c>
      <c r="F1787" s="199" t="s">
        <v>8</v>
      </c>
      <c r="G1787" s="199" t="s">
        <v>4755</v>
      </c>
      <c r="H1787" s="200">
        <v>1254</v>
      </c>
      <c r="I1787" s="199" t="s">
        <v>20</v>
      </c>
      <c r="J1787" s="199" t="s">
        <v>415</v>
      </c>
      <c r="K1787" s="201">
        <v>45414</v>
      </c>
      <c r="L1787" s="199" t="s">
        <v>3319</v>
      </c>
      <c r="M1787" s="199" t="s">
        <v>3320</v>
      </c>
    </row>
    <row r="1788" spans="1:13" ht="85.5">
      <c r="A1788" s="199">
        <v>1787</v>
      </c>
      <c r="B1788" s="199" t="s">
        <v>5102</v>
      </c>
      <c r="C1788" s="199" t="s">
        <v>34</v>
      </c>
      <c r="D1788" s="199" t="s">
        <v>35</v>
      </c>
      <c r="E1788" s="199">
        <v>10</v>
      </c>
      <c r="F1788" s="199" t="s">
        <v>8</v>
      </c>
      <c r="G1788" s="199" t="s">
        <v>4755</v>
      </c>
      <c r="H1788" s="200">
        <v>260.3</v>
      </c>
      <c r="I1788" s="199" t="s">
        <v>20</v>
      </c>
      <c r="J1788" s="199" t="s">
        <v>415</v>
      </c>
      <c r="K1788" s="201">
        <v>45414</v>
      </c>
      <c r="L1788" s="199" t="s">
        <v>3319</v>
      </c>
      <c r="M1788" s="199" t="s">
        <v>3320</v>
      </c>
    </row>
    <row r="1789" spans="1:13" ht="85.5">
      <c r="A1789" s="199">
        <v>1788</v>
      </c>
      <c r="B1789" s="199" t="s">
        <v>5103</v>
      </c>
      <c r="C1789" s="199" t="s">
        <v>34</v>
      </c>
      <c r="D1789" s="199" t="s">
        <v>35</v>
      </c>
      <c r="E1789" s="199">
        <v>10</v>
      </c>
      <c r="F1789" s="199" t="s">
        <v>8</v>
      </c>
      <c r="G1789" s="199" t="s">
        <v>4755</v>
      </c>
      <c r="H1789" s="200">
        <v>261</v>
      </c>
      <c r="I1789" s="199" t="s">
        <v>20</v>
      </c>
      <c r="J1789" s="199" t="s">
        <v>415</v>
      </c>
      <c r="K1789" s="201">
        <v>45414</v>
      </c>
      <c r="L1789" s="199" t="s">
        <v>3319</v>
      </c>
      <c r="M1789" s="199" t="s">
        <v>3320</v>
      </c>
    </row>
    <row r="1790" spans="1:13" ht="85.5">
      <c r="A1790" s="199">
        <v>1789</v>
      </c>
      <c r="B1790" s="199" t="s">
        <v>5104</v>
      </c>
      <c r="C1790" s="199" t="s">
        <v>34</v>
      </c>
      <c r="D1790" s="199" t="s">
        <v>35</v>
      </c>
      <c r="E1790" s="199">
        <v>10</v>
      </c>
      <c r="F1790" s="199" t="s">
        <v>8</v>
      </c>
      <c r="G1790" s="199" t="s">
        <v>4755</v>
      </c>
      <c r="H1790" s="200">
        <v>255.6</v>
      </c>
      <c r="I1790" s="199" t="s">
        <v>20</v>
      </c>
      <c r="J1790" s="199" t="s">
        <v>415</v>
      </c>
      <c r="K1790" s="201">
        <v>45414</v>
      </c>
      <c r="L1790" s="199" t="s">
        <v>3319</v>
      </c>
      <c r="M1790" s="199" t="s">
        <v>3320</v>
      </c>
    </row>
    <row r="1791" spans="1:13" ht="85.5">
      <c r="A1791" s="199">
        <v>1790</v>
      </c>
      <c r="B1791" s="199" t="s">
        <v>5105</v>
      </c>
      <c r="C1791" s="199" t="s">
        <v>34</v>
      </c>
      <c r="D1791" s="199" t="s">
        <v>35</v>
      </c>
      <c r="E1791" s="199">
        <v>10</v>
      </c>
      <c r="F1791" s="199" t="s">
        <v>8</v>
      </c>
      <c r="G1791" s="199" t="s">
        <v>4755</v>
      </c>
      <c r="H1791" s="200">
        <v>260.3</v>
      </c>
      <c r="I1791" s="199" t="s">
        <v>20</v>
      </c>
      <c r="J1791" s="199" t="s">
        <v>415</v>
      </c>
      <c r="K1791" s="201">
        <v>45414</v>
      </c>
      <c r="L1791" s="199" t="s">
        <v>3319</v>
      </c>
      <c r="M1791" s="199" t="s">
        <v>3320</v>
      </c>
    </row>
    <row r="1792" spans="1:13" ht="85.5">
      <c r="A1792" s="199">
        <v>1791</v>
      </c>
      <c r="B1792" s="199" t="s">
        <v>5106</v>
      </c>
      <c r="C1792" s="199" t="s">
        <v>34</v>
      </c>
      <c r="D1792" s="199" t="s">
        <v>35</v>
      </c>
      <c r="E1792" s="199">
        <v>10</v>
      </c>
      <c r="F1792" s="199" t="s">
        <v>8</v>
      </c>
      <c r="G1792" s="199" t="s">
        <v>4755</v>
      </c>
      <c r="H1792" s="200">
        <v>237.3</v>
      </c>
      <c r="I1792" s="199" t="s">
        <v>20</v>
      </c>
      <c r="J1792" s="199" t="s">
        <v>415</v>
      </c>
      <c r="K1792" s="201">
        <v>45414</v>
      </c>
      <c r="L1792" s="199" t="s">
        <v>3319</v>
      </c>
      <c r="M1792" s="199" t="s">
        <v>3320</v>
      </c>
    </row>
    <row r="1793" spans="1:13" ht="99.75">
      <c r="A1793" s="199">
        <v>1792</v>
      </c>
      <c r="B1793" s="199" t="s">
        <v>5107</v>
      </c>
      <c r="C1793" s="199" t="s">
        <v>34</v>
      </c>
      <c r="D1793" s="199" t="s">
        <v>35</v>
      </c>
      <c r="E1793" s="199">
        <v>30</v>
      </c>
      <c r="F1793" s="199" t="s">
        <v>560</v>
      </c>
      <c r="G1793" s="199" t="s">
        <v>4755</v>
      </c>
      <c r="H1793" s="200">
        <v>348.6</v>
      </c>
      <c r="I1793" s="199" t="s">
        <v>20</v>
      </c>
      <c r="J1793" s="199" t="s">
        <v>415</v>
      </c>
      <c r="K1793" s="201">
        <v>45414</v>
      </c>
      <c r="L1793" s="199" t="s">
        <v>3319</v>
      </c>
      <c r="M1793" s="199" t="s">
        <v>3320</v>
      </c>
    </row>
    <row r="1794" spans="1:13" ht="99.75">
      <c r="A1794" s="199">
        <v>1793</v>
      </c>
      <c r="B1794" s="199" t="s">
        <v>5108</v>
      </c>
      <c r="C1794" s="199" t="s">
        <v>34</v>
      </c>
      <c r="D1794" s="199" t="s">
        <v>35</v>
      </c>
      <c r="E1794" s="199">
        <v>30</v>
      </c>
      <c r="F1794" s="199" t="s">
        <v>8</v>
      </c>
      <c r="G1794" s="199" t="s">
        <v>4755</v>
      </c>
      <c r="H1794" s="200">
        <v>6388.2</v>
      </c>
      <c r="I1794" s="199" t="s">
        <v>20</v>
      </c>
      <c r="J1794" s="199" t="s">
        <v>415</v>
      </c>
      <c r="K1794" s="201">
        <v>45414</v>
      </c>
      <c r="L1794" s="199" t="s">
        <v>3319</v>
      </c>
      <c r="M1794" s="199" t="s">
        <v>3320</v>
      </c>
    </row>
    <row r="1795" spans="1:13" ht="85.5">
      <c r="A1795" s="199">
        <v>1794</v>
      </c>
      <c r="B1795" s="199" t="s">
        <v>5109</v>
      </c>
      <c r="C1795" s="199" t="s">
        <v>34</v>
      </c>
      <c r="D1795" s="199" t="s">
        <v>35</v>
      </c>
      <c r="E1795" s="199">
        <v>10</v>
      </c>
      <c r="F1795" s="199" t="s">
        <v>8</v>
      </c>
      <c r="G1795" s="199" t="s">
        <v>4755</v>
      </c>
      <c r="H1795" s="200">
        <v>284.8</v>
      </c>
      <c r="I1795" s="199" t="s">
        <v>20</v>
      </c>
      <c r="J1795" s="199" t="s">
        <v>415</v>
      </c>
      <c r="K1795" s="201">
        <v>45414</v>
      </c>
      <c r="L1795" s="199" t="s">
        <v>3319</v>
      </c>
      <c r="M1795" s="199" t="s">
        <v>3320</v>
      </c>
    </row>
    <row r="1796" spans="1:13" ht="85.5">
      <c r="A1796" s="199">
        <v>1795</v>
      </c>
      <c r="B1796" s="199" t="s">
        <v>5110</v>
      </c>
      <c r="C1796" s="199" t="s">
        <v>34</v>
      </c>
      <c r="D1796" s="199" t="s">
        <v>35</v>
      </c>
      <c r="E1796" s="199">
        <v>10</v>
      </c>
      <c r="F1796" s="199" t="s">
        <v>8</v>
      </c>
      <c r="G1796" s="199" t="s">
        <v>4755</v>
      </c>
      <c r="H1796" s="200">
        <v>278.89999999999998</v>
      </c>
      <c r="I1796" s="199" t="s">
        <v>20</v>
      </c>
      <c r="J1796" s="199" t="s">
        <v>415</v>
      </c>
      <c r="K1796" s="201">
        <v>45414</v>
      </c>
      <c r="L1796" s="199" t="s">
        <v>3319</v>
      </c>
      <c r="M1796" s="199" t="s">
        <v>3320</v>
      </c>
    </row>
    <row r="1797" spans="1:13" ht="85.5">
      <c r="A1797" s="199">
        <v>1796</v>
      </c>
      <c r="B1797" s="199" t="s">
        <v>5111</v>
      </c>
      <c r="C1797" s="199" t="s">
        <v>34</v>
      </c>
      <c r="D1797" s="199" t="s">
        <v>35</v>
      </c>
      <c r="E1797" s="199">
        <v>10</v>
      </c>
      <c r="F1797" s="199" t="s">
        <v>8</v>
      </c>
      <c r="G1797" s="199" t="s">
        <v>4755</v>
      </c>
      <c r="H1797" s="200">
        <v>2839.2</v>
      </c>
      <c r="I1797" s="199" t="s">
        <v>20</v>
      </c>
      <c r="J1797" s="199" t="s">
        <v>415</v>
      </c>
      <c r="K1797" s="201">
        <v>45414</v>
      </c>
      <c r="L1797" s="199" t="s">
        <v>3319</v>
      </c>
      <c r="M1797" s="199" t="s">
        <v>3320</v>
      </c>
    </row>
    <row r="1798" spans="1:13" ht="85.5">
      <c r="A1798" s="199">
        <v>1797</v>
      </c>
      <c r="B1798" s="199" t="s">
        <v>4771</v>
      </c>
      <c r="C1798" s="199" t="s">
        <v>34</v>
      </c>
      <c r="D1798" s="199" t="s">
        <v>35</v>
      </c>
      <c r="E1798" s="199">
        <v>100</v>
      </c>
      <c r="F1798" s="199" t="s">
        <v>8</v>
      </c>
      <c r="G1798" s="199" t="s">
        <v>4755</v>
      </c>
      <c r="H1798" s="200">
        <v>2366</v>
      </c>
      <c r="I1798" s="199" t="s">
        <v>20</v>
      </c>
      <c r="J1798" s="199" t="s">
        <v>415</v>
      </c>
      <c r="K1798" s="201">
        <v>45414</v>
      </c>
      <c r="L1798" s="199" t="s">
        <v>3319</v>
      </c>
      <c r="M1798" s="199" t="s">
        <v>3320</v>
      </c>
    </row>
    <row r="1799" spans="1:13" ht="156.75">
      <c r="A1799" s="199">
        <v>1798</v>
      </c>
      <c r="B1799" s="199" t="s">
        <v>5112</v>
      </c>
      <c r="C1799" s="199" t="s">
        <v>34</v>
      </c>
      <c r="D1799" s="199" t="s">
        <v>35</v>
      </c>
      <c r="E1799" s="199">
        <v>50</v>
      </c>
      <c r="F1799" s="199" t="s">
        <v>8</v>
      </c>
      <c r="G1799" s="199" t="s">
        <v>4755</v>
      </c>
      <c r="H1799" s="200">
        <v>4746</v>
      </c>
      <c r="I1799" s="199" t="s">
        <v>20</v>
      </c>
      <c r="J1799" s="199" t="s">
        <v>415</v>
      </c>
      <c r="K1799" s="201">
        <v>45414</v>
      </c>
      <c r="L1799" s="199" t="s">
        <v>3319</v>
      </c>
      <c r="M1799" s="199" t="s">
        <v>3320</v>
      </c>
    </row>
    <row r="1800" spans="1:13" ht="85.5">
      <c r="A1800" s="199">
        <v>1799</v>
      </c>
      <c r="B1800" s="199" t="s">
        <v>5113</v>
      </c>
      <c r="C1800" s="199" t="s">
        <v>34</v>
      </c>
      <c r="D1800" s="199" t="s">
        <v>35</v>
      </c>
      <c r="E1800" s="199">
        <v>2</v>
      </c>
      <c r="F1800" s="199" t="s">
        <v>2378</v>
      </c>
      <c r="G1800" s="199" t="s">
        <v>4755</v>
      </c>
      <c r="H1800" s="200">
        <v>30.22</v>
      </c>
      <c r="I1800" s="199" t="s">
        <v>20</v>
      </c>
      <c r="J1800" s="199" t="s">
        <v>415</v>
      </c>
      <c r="K1800" s="201">
        <v>45414</v>
      </c>
      <c r="L1800" s="199" t="s">
        <v>3319</v>
      </c>
      <c r="M1800" s="199" t="s">
        <v>3320</v>
      </c>
    </row>
    <row r="1801" spans="1:13" ht="85.5">
      <c r="A1801" s="199">
        <v>1800</v>
      </c>
      <c r="B1801" s="199" t="s">
        <v>5114</v>
      </c>
      <c r="C1801" s="199" t="s">
        <v>34</v>
      </c>
      <c r="D1801" s="199" t="s">
        <v>35</v>
      </c>
      <c r="E1801" s="199">
        <v>200</v>
      </c>
      <c r="F1801" s="199" t="s">
        <v>679</v>
      </c>
      <c r="G1801" s="199" t="s">
        <v>4755</v>
      </c>
      <c r="H1801" s="200">
        <v>7050</v>
      </c>
      <c r="I1801" s="199" t="s">
        <v>20</v>
      </c>
      <c r="J1801" s="199" t="s">
        <v>415</v>
      </c>
      <c r="K1801" s="201">
        <v>45414</v>
      </c>
      <c r="L1801" s="199" t="s">
        <v>3319</v>
      </c>
      <c r="M1801" s="199" t="s">
        <v>3320</v>
      </c>
    </row>
    <row r="1802" spans="1:13" ht="228">
      <c r="A1802" s="199">
        <v>1801</v>
      </c>
      <c r="B1802" s="199" t="s">
        <v>5115</v>
      </c>
      <c r="C1802" s="199" t="s">
        <v>34</v>
      </c>
      <c r="D1802" s="199" t="s">
        <v>35</v>
      </c>
      <c r="E1802" s="199">
        <v>5</v>
      </c>
      <c r="F1802" s="199" t="s">
        <v>679</v>
      </c>
      <c r="G1802" s="199" t="s">
        <v>4755</v>
      </c>
      <c r="H1802" s="200">
        <v>794.65</v>
      </c>
      <c r="I1802" s="199" t="s">
        <v>20</v>
      </c>
      <c r="J1802" s="199" t="s">
        <v>415</v>
      </c>
      <c r="K1802" s="201">
        <v>45414</v>
      </c>
      <c r="L1802" s="199" t="s">
        <v>3319</v>
      </c>
      <c r="M1802" s="199" t="s">
        <v>3320</v>
      </c>
    </row>
    <row r="1803" spans="1:13" ht="85.5">
      <c r="A1803" s="199">
        <v>1802</v>
      </c>
      <c r="B1803" s="199" t="s">
        <v>5116</v>
      </c>
      <c r="C1803" s="199" t="s">
        <v>34</v>
      </c>
      <c r="D1803" s="199" t="s">
        <v>35</v>
      </c>
      <c r="E1803" s="199">
        <v>200</v>
      </c>
      <c r="F1803" s="199" t="s">
        <v>679</v>
      </c>
      <c r="G1803" s="199" t="s">
        <v>4755</v>
      </c>
      <c r="H1803" s="200">
        <v>6508</v>
      </c>
      <c r="I1803" s="199" t="s">
        <v>20</v>
      </c>
      <c r="J1803" s="199" t="s">
        <v>415</v>
      </c>
      <c r="K1803" s="201">
        <v>45414</v>
      </c>
      <c r="L1803" s="199" t="s">
        <v>3319</v>
      </c>
      <c r="M1803" s="199" t="s">
        <v>3320</v>
      </c>
    </row>
    <row r="1804" spans="1:13" ht="99.75">
      <c r="A1804" s="199">
        <v>1803</v>
      </c>
      <c r="B1804" s="199" t="s">
        <v>5117</v>
      </c>
      <c r="C1804" s="199" t="s">
        <v>34</v>
      </c>
      <c r="D1804" s="199" t="s">
        <v>35</v>
      </c>
      <c r="E1804" s="199">
        <v>2</v>
      </c>
      <c r="F1804" s="199" t="s">
        <v>8</v>
      </c>
      <c r="G1804" s="199" t="s">
        <v>4755</v>
      </c>
      <c r="H1804" s="200">
        <v>28.4</v>
      </c>
      <c r="I1804" s="199" t="s">
        <v>20</v>
      </c>
      <c r="J1804" s="199" t="s">
        <v>415</v>
      </c>
      <c r="K1804" s="201">
        <v>45414</v>
      </c>
      <c r="L1804" s="199" t="s">
        <v>3319</v>
      </c>
      <c r="M1804" s="199" t="s">
        <v>3320</v>
      </c>
    </row>
    <row r="1805" spans="1:13" ht="85.5">
      <c r="A1805" s="199">
        <v>1804</v>
      </c>
      <c r="B1805" s="199" t="s">
        <v>5118</v>
      </c>
      <c r="C1805" s="199" t="s">
        <v>34</v>
      </c>
      <c r="D1805" s="199" t="s">
        <v>35</v>
      </c>
      <c r="E1805" s="199">
        <v>1000</v>
      </c>
      <c r="F1805" s="199" t="s">
        <v>560</v>
      </c>
      <c r="G1805" s="199" t="s">
        <v>4755</v>
      </c>
      <c r="H1805" s="200">
        <v>14240</v>
      </c>
      <c r="I1805" s="199" t="s">
        <v>20</v>
      </c>
      <c r="J1805" s="199" t="s">
        <v>415</v>
      </c>
      <c r="K1805" s="201">
        <v>45414</v>
      </c>
      <c r="L1805" s="199" t="s">
        <v>3319</v>
      </c>
      <c r="M1805" s="199" t="s">
        <v>3320</v>
      </c>
    </row>
    <row r="1806" spans="1:13" ht="114">
      <c r="A1806" s="199">
        <v>1805</v>
      </c>
      <c r="B1806" s="199" t="s">
        <v>5119</v>
      </c>
      <c r="C1806" s="199" t="s">
        <v>34</v>
      </c>
      <c r="D1806" s="199" t="s">
        <v>35</v>
      </c>
      <c r="E1806" s="199">
        <v>250</v>
      </c>
      <c r="F1806" s="199" t="s">
        <v>560</v>
      </c>
      <c r="G1806" s="199" t="s">
        <v>4755</v>
      </c>
      <c r="H1806" s="200">
        <v>3485</v>
      </c>
      <c r="I1806" s="199" t="s">
        <v>20</v>
      </c>
      <c r="J1806" s="199" t="s">
        <v>415</v>
      </c>
      <c r="K1806" s="201">
        <v>45414</v>
      </c>
      <c r="L1806" s="199" t="s">
        <v>3319</v>
      </c>
      <c r="M1806" s="199" t="s">
        <v>3320</v>
      </c>
    </row>
    <row r="1807" spans="1:13" ht="156.75">
      <c r="A1807" s="199">
        <v>1806</v>
      </c>
      <c r="B1807" s="199" t="s">
        <v>5120</v>
      </c>
      <c r="C1807" s="199" t="s">
        <v>34</v>
      </c>
      <c r="D1807" s="199" t="s">
        <v>35</v>
      </c>
      <c r="E1807" s="199">
        <v>30</v>
      </c>
      <c r="F1807" s="199" t="s">
        <v>8</v>
      </c>
      <c r="G1807" s="199" t="s">
        <v>4755</v>
      </c>
      <c r="H1807" s="200">
        <v>709.8</v>
      </c>
      <c r="I1807" s="199" t="s">
        <v>20</v>
      </c>
      <c r="J1807" s="199" t="s">
        <v>415</v>
      </c>
      <c r="K1807" s="201">
        <v>45414</v>
      </c>
      <c r="L1807" s="199" t="s">
        <v>3319</v>
      </c>
      <c r="M1807" s="199" t="s">
        <v>3320</v>
      </c>
    </row>
    <row r="1808" spans="1:13" ht="85.5">
      <c r="A1808" s="199">
        <v>1807</v>
      </c>
      <c r="B1808" s="199" t="s">
        <v>5121</v>
      </c>
      <c r="C1808" s="199" t="s">
        <v>34</v>
      </c>
      <c r="D1808" s="199" t="s">
        <v>35</v>
      </c>
      <c r="E1808" s="199">
        <v>15</v>
      </c>
      <c r="F1808" s="199" t="s">
        <v>8</v>
      </c>
      <c r="G1808" s="199" t="s">
        <v>4755</v>
      </c>
      <c r="H1808" s="200">
        <v>178.05</v>
      </c>
      <c r="I1808" s="199" t="s">
        <v>20</v>
      </c>
      <c r="J1808" s="199" t="s">
        <v>415</v>
      </c>
      <c r="K1808" s="201">
        <v>45414</v>
      </c>
      <c r="L1808" s="199" t="s">
        <v>3319</v>
      </c>
      <c r="M1808" s="199" t="s">
        <v>3320</v>
      </c>
    </row>
    <row r="1809" spans="1:13" ht="85.5">
      <c r="A1809" s="199">
        <v>1808</v>
      </c>
      <c r="B1809" s="199" t="s">
        <v>5122</v>
      </c>
      <c r="C1809" s="199" t="s">
        <v>34</v>
      </c>
      <c r="D1809" s="199" t="s">
        <v>35</v>
      </c>
      <c r="E1809" s="199">
        <v>2</v>
      </c>
      <c r="F1809" s="199" t="s">
        <v>8</v>
      </c>
      <c r="G1809" s="199" t="s">
        <v>4755</v>
      </c>
      <c r="H1809" s="200">
        <v>116.2</v>
      </c>
      <c r="I1809" s="199" t="s">
        <v>20</v>
      </c>
      <c r="J1809" s="199" t="s">
        <v>415</v>
      </c>
      <c r="K1809" s="201">
        <v>45414</v>
      </c>
      <c r="L1809" s="199" t="s">
        <v>3319</v>
      </c>
      <c r="M1809" s="199" t="s">
        <v>3320</v>
      </c>
    </row>
    <row r="1810" spans="1:13" ht="99.75">
      <c r="A1810" s="199">
        <v>1809</v>
      </c>
      <c r="B1810" s="199" t="s">
        <v>5123</v>
      </c>
      <c r="C1810" s="199" t="s">
        <v>34</v>
      </c>
      <c r="D1810" s="199" t="s">
        <v>35</v>
      </c>
      <c r="E1810" s="199">
        <v>2</v>
      </c>
      <c r="F1810" s="199" t="s">
        <v>8</v>
      </c>
      <c r="G1810" s="199" t="s">
        <v>4755</v>
      </c>
      <c r="H1810" s="200">
        <v>141.96</v>
      </c>
      <c r="I1810" s="199" t="s">
        <v>20</v>
      </c>
      <c r="J1810" s="199" t="s">
        <v>415</v>
      </c>
      <c r="K1810" s="201">
        <v>45414</v>
      </c>
      <c r="L1810" s="199" t="s">
        <v>3319</v>
      </c>
      <c r="M1810" s="199" t="s">
        <v>3320</v>
      </c>
    </row>
    <row r="1811" spans="1:13" ht="85.5">
      <c r="A1811" s="199">
        <v>1810</v>
      </c>
      <c r="B1811" s="199" t="s">
        <v>5124</v>
      </c>
      <c r="C1811" s="199" t="s">
        <v>34</v>
      </c>
      <c r="D1811" s="199" t="s">
        <v>35</v>
      </c>
      <c r="E1811" s="199">
        <v>5</v>
      </c>
      <c r="F1811" s="199" t="s">
        <v>8</v>
      </c>
      <c r="G1811" s="199" t="s">
        <v>4755</v>
      </c>
      <c r="H1811" s="200">
        <v>71.2</v>
      </c>
      <c r="I1811" s="199" t="s">
        <v>20</v>
      </c>
      <c r="J1811" s="199" t="s">
        <v>415</v>
      </c>
      <c r="K1811" s="201">
        <v>45414</v>
      </c>
      <c r="L1811" s="199" t="s">
        <v>3319</v>
      </c>
      <c r="M1811" s="199" t="s">
        <v>3320</v>
      </c>
    </row>
    <row r="1812" spans="1:13" ht="85.5">
      <c r="A1812" s="199">
        <v>1811</v>
      </c>
      <c r="B1812" s="199" t="s">
        <v>5125</v>
      </c>
      <c r="C1812" s="199" t="s">
        <v>34</v>
      </c>
      <c r="D1812" s="199" t="s">
        <v>35</v>
      </c>
      <c r="E1812" s="199">
        <v>5</v>
      </c>
      <c r="F1812" s="199" t="s">
        <v>8</v>
      </c>
      <c r="G1812" s="199" t="s">
        <v>4755</v>
      </c>
      <c r="H1812" s="200">
        <v>58.1</v>
      </c>
      <c r="I1812" s="199" t="s">
        <v>20</v>
      </c>
      <c r="J1812" s="199" t="s">
        <v>415</v>
      </c>
      <c r="K1812" s="201">
        <v>45414</v>
      </c>
      <c r="L1812" s="199" t="s">
        <v>3319</v>
      </c>
      <c r="M1812" s="199" t="s">
        <v>3320</v>
      </c>
    </row>
    <row r="1813" spans="1:13" ht="128.25">
      <c r="A1813" s="199">
        <v>1812</v>
      </c>
      <c r="B1813" s="199" t="s">
        <v>5126</v>
      </c>
      <c r="C1813" s="199" t="s">
        <v>34</v>
      </c>
      <c r="D1813" s="199" t="s">
        <v>35</v>
      </c>
      <c r="E1813" s="199">
        <v>10</v>
      </c>
      <c r="F1813" s="199" t="s">
        <v>8</v>
      </c>
      <c r="G1813" s="199" t="s">
        <v>4755</v>
      </c>
      <c r="H1813" s="200">
        <v>118.3</v>
      </c>
      <c r="I1813" s="199" t="s">
        <v>20</v>
      </c>
      <c r="J1813" s="199" t="s">
        <v>415</v>
      </c>
      <c r="K1813" s="201">
        <v>45414</v>
      </c>
      <c r="L1813" s="199" t="s">
        <v>3319</v>
      </c>
      <c r="M1813" s="199" t="s">
        <v>3320</v>
      </c>
    </row>
    <row r="1814" spans="1:13" ht="85.5">
      <c r="A1814" s="199">
        <v>1813</v>
      </c>
      <c r="B1814" s="199" t="s">
        <v>5127</v>
      </c>
      <c r="C1814" s="199" t="s">
        <v>34</v>
      </c>
      <c r="D1814" s="199" t="s">
        <v>35</v>
      </c>
      <c r="E1814" s="199">
        <v>30</v>
      </c>
      <c r="F1814" s="199" t="s">
        <v>8</v>
      </c>
      <c r="G1814" s="199" t="s">
        <v>4755</v>
      </c>
      <c r="H1814" s="200">
        <v>8542.7999999999993</v>
      </c>
      <c r="I1814" s="199" t="s">
        <v>20</v>
      </c>
      <c r="J1814" s="199" t="s">
        <v>415</v>
      </c>
      <c r="K1814" s="201">
        <v>45414</v>
      </c>
      <c r="L1814" s="199" t="s">
        <v>3319</v>
      </c>
      <c r="M1814" s="199" t="s">
        <v>3320</v>
      </c>
    </row>
    <row r="1815" spans="1:13" ht="228">
      <c r="A1815" s="199">
        <v>1814</v>
      </c>
      <c r="B1815" s="199" t="s">
        <v>5128</v>
      </c>
      <c r="C1815" s="199" t="s">
        <v>34</v>
      </c>
      <c r="D1815" s="199" t="s">
        <v>35</v>
      </c>
      <c r="E1815" s="199">
        <v>150</v>
      </c>
      <c r="F1815" s="199" t="s">
        <v>679</v>
      </c>
      <c r="G1815" s="199" t="s">
        <v>4755</v>
      </c>
      <c r="H1815" s="200">
        <v>9586.5</v>
      </c>
      <c r="I1815" s="199" t="s">
        <v>20</v>
      </c>
      <c r="J1815" s="199" t="s">
        <v>415</v>
      </c>
      <c r="K1815" s="201">
        <v>45414</v>
      </c>
      <c r="L1815" s="199" t="s">
        <v>3319</v>
      </c>
      <c r="M1815" s="199" t="s">
        <v>3320</v>
      </c>
    </row>
    <row r="1816" spans="1:13" ht="114">
      <c r="A1816" s="199">
        <v>1815</v>
      </c>
      <c r="B1816" s="199" t="s">
        <v>5129</v>
      </c>
      <c r="C1816" s="199" t="s">
        <v>34</v>
      </c>
      <c r="D1816" s="199" t="s">
        <v>35</v>
      </c>
      <c r="E1816" s="199">
        <v>5</v>
      </c>
      <c r="F1816" s="199" t="s">
        <v>8</v>
      </c>
      <c r="G1816" s="199" t="s">
        <v>4755</v>
      </c>
      <c r="H1816" s="200">
        <v>59.15</v>
      </c>
      <c r="I1816" s="199" t="s">
        <v>20</v>
      </c>
      <c r="J1816" s="199" t="s">
        <v>415</v>
      </c>
      <c r="K1816" s="201">
        <v>45414</v>
      </c>
      <c r="L1816" s="199" t="s">
        <v>3319</v>
      </c>
      <c r="M1816" s="199" t="s">
        <v>3320</v>
      </c>
    </row>
    <row r="1817" spans="1:13" ht="99.75">
      <c r="A1817" s="199">
        <v>1816</v>
      </c>
      <c r="B1817" s="199" t="s">
        <v>5130</v>
      </c>
      <c r="C1817" s="199" t="s">
        <v>34</v>
      </c>
      <c r="D1817" s="199" t="s">
        <v>35</v>
      </c>
      <c r="E1817" s="199">
        <v>5</v>
      </c>
      <c r="F1817" s="199" t="s">
        <v>8</v>
      </c>
      <c r="G1817" s="199" t="s">
        <v>4755</v>
      </c>
      <c r="H1817" s="200">
        <v>59.35</v>
      </c>
      <c r="I1817" s="199" t="s">
        <v>20</v>
      </c>
      <c r="J1817" s="199" t="s">
        <v>415</v>
      </c>
      <c r="K1817" s="201">
        <v>45414</v>
      </c>
      <c r="L1817" s="199" t="s">
        <v>3319</v>
      </c>
      <c r="M1817" s="199" t="s">
        <v>3320</v>
      </c>
    </row>
    <row r="1818" spans="1:13" ht="156.75">
      <c r="A1818" s="199">
        <v>1817</v>
      </c>
      <c r="B1818" s="199" t="s">
        <v>5131</v>
      </c>
      <c r="C1818" s="199" t="s">
        <v>34</v>
      </c>
      <c r="D1818" s="199" t="s">
        <v>35</v>
      </c>
      <c r="E1818" s="199">
        <v>900</v>
      </c>
      <c r="F1818" s="199" t="s">
        <v>679</v>
      </c>
      <c r="G1818" s="199" t="s">
        <v>4755</v>
      </c>
      <c r="H1818" s="200">
        <v>73206</v>
      </c>
      <c r="I1818" s="199" t="s">
        <v>20</v>
      </c>
      <c r="J1818" s="199" t="s">
        <v>415</v>
      </c>
      <c r="K1818" s="201">
        <v>45414</v>
      </c>
      <c r="L1818" s="199" t="s">
        <v>3319</v>
      </c>
      <c r="M1818" s="199" t="s">
        <v>3320</v>
      </c>
    </row>
    <row r="1819" spans="1:13" ht="85.5">
      <c r="A1819" s="199">
        <v>1818</v>
      </c>
      <c r="B1819" s="199" t="s">
        <v>5132</v>
      </c>
      <c r="C1819" s="199" t="s">
        <v>34</v>
      </c>
      <c r="D1819" s="199" t="s">
        <v>35</v>
      </c>
      <c r="E1819" s="199">
        <v>4</v>
      </c>
      <c r="F1819" s="199" t="s">
        <v>8</v>
      </c>
      <c r="G1819" s="199" t="s">
        <v>4755</v>
      </c>
      <c r="H1819" s="200">
        <v>160.88</v>
      </c>
      <c r="I1819" s="199" t="s">
        <v>20</v>
      </c>
      <c r="J1819" s="199" t="s">
        <v>415</v>
      </c>
      <c r="K1819" s="201">
        <v>45414</v>
      </c>
      <c r="L1819" s="199" t="s">
        <v>3319</v>
      </c>
      <c r="M1819" s="199" t="s">
        <v>3320</v>
      </c>
    </row>
    <row r="1820" spans="1:13" ht="128.25">
      <c r="A1820" s="199">
        <v>1819</v>
      </c>
      <c r="B1820" s="199" t="s">
        <v>5133</v>
      </c>
      <c r="C1820" s="199" t="s">
        <v>34</v>
      </c>
      <c r="D1820" s="199" t="s">
        <v>35</v>
      </c>
      <c r="E1820" s="199">
        <v>5</v>
      </c>
      <c r="F1820" s="199" t="s">
        <v>2378</v>
      </c>
      <c r="G1820" s="199" t="s">
        <v>4755</v>
      </c>
      <c r="H1820" s="200">
        <v>237.3</v>
      </c>
      <c r="I1820" s="199" t="s">
        <v>20</v>
      </c>
      <c r="J1820" s="199" t="s">
        <v>415</v>
      </c>
      <c r="K1820" s="201">
        <v>45414</v>
      </c>
      <c r="L1820" s="199" t="s">
        <v>3319</v>
      </c>
      <c r="M1820" s="199" t="s">
        <v>3320</v>
      </c>
    </row>
    <row r="1821" spans="1:13" ht="270.75">
      <c r="A1821" s="199">
        <v>1820</v>
      </c>
      <c r="B1821" s="199" t="s">
        <v>5134</v>
      </c>
      <c r="C1821" s="199" t="s">
        <v>34</v>
      </c>
      <c r="D1821" s="199" t="s">
        <v>35</v>
      </c>
      <c r="E1821" s="199">
        <v>150</v>
      </c>
      <c r="F1821" s="199" t="s">
        <v>3846</v>
      </c>
      <c r="G1821" s="199" t="s">
        <v>4755</v>
      </c>
      <c r="H1821" s="200">
        <v>48804</v>
      </c>
      <c r="I1821" s="199" t="s">
        <v>20</v>
      </c>
      <c r="J1821" s="199" t="s">
        <v>415</v>
      </c>
      <c r="K1821" s="201">
        <v>45414</v>
      </c>
      <c r="L1821" s="199" t="s">
        <v>3319</v>
      </c>
      <c r="M1821" s="199" t="s">
        <v>3320</v>
      </c>
    </row>
    <row r="1822" spans="1:13" ht="85.5">
      <c r="A1822" s="199">
        <v>1821</v>
      </c>
      <c r="B1822" s="199" t="s">
        <v>5135</v>
      </c>
      <c r="C1822" s="199" t="s">
        <v>34</v>
      </c>
      <c r="D1822" s="199" t="s">
        <v>35</v>
      </c>
      <c r="E1822" s="199">
        <v>5</v>
      </c>
      <c r="F1822" s="199" t="s">
        <v>749</v>
      </c>
      <c r="G1822" s="199" t="s">
        <v>4755</v>
      </c>
      <c r="H1822" s="200">
        <v>201.1</v>
      </c>
      <c r="I1822" s="199" t="s">
        <v>20</v>
      </c>
      <c r="J1822" s="199" t="s">
        <v>415</v>
      </c>
      <c r="K1822" s="201">
        <v>45414</v>
      </c>
      <c r="L1822" s="199" t="s">
        <v>3319</v>
      </c>
      <c r="M1822" s="199" t="s">
        <v>3320</v>
      </c>
    </row>
    <row r="1823" spans="1:13" ht="85.5">
      <c r="A1823" s="199">
        <v>1822</v>
      </c>
      <c r="B1823" s="199" t="s">
        <v>5136</v>
      </c>
      <c r="C1823" s="199" t="s">
        <v>34</v>
      </c>
      <c r="D1823" s="199" t="s">
        <v>35</v>
      </c>
      <c r="E1823" s="199">
        <v>40</v>
      </c>
      <c r="F1823" s="199" t="s">
        <v>8</v>
      </c>
      <c r="G1823" s="199" t="s">
        <v>4755</v>
      </c>
      <c r="H1823" s="200">
        <v>2847.6</v>
      </c>
      <c r="I1823" s="199" t="s">
        <v>20</v>
      </c>
      <c r="J1823" s="199" t="s">
        <v>415</v>
      </c>
      <c r="K1823" s="201">
        <v>45414</v>
      </c>
      <c r="L1823" s="199" t="s">
        <v>3319</v>
      </c>
      <c r="M1823" s="199" t="s">
        <v>3320</v>
      </c>
    </row>
    <row r="1824" spans="1:13" ht="114">
      <c r="A1824" s="199">
        <v>1823</v>
      </c>
      <c r="B1824" s="199" t="s">
        <v>5137</v>
      </c>
      <c r="C1824" s="199" t="s">
        <v>34</v>
      </c>
      <c r="D1824" s="199" t="s">
        <v>35</v>
      </c>
      <c r="E1824" s="199">
        <v>200</v>
      </c>
      <c r="F1824" s="199" t="s">
        <v>591</v>
      </c>
      <c r="G1824" s="199" t="s">
        <v>4755</v>
      </c>
      <c r="H1824" s="200">
        <v>7378</v>
      </c>
      <c r="I1824" s="199" t="s">
        <v>20</v>
      </c>
      <c r="J1824" s="199" t="s">
        <v>415</v>
      </c>
      <c r="K1824" s="201">
        <v>45414</v>
      </c>
      <c r="L1824" s="199" t="s">
        <v>3319</v>
      </c>
      <c r="M1824" s="199" t="s">
        <v>3320</v>
      </c>
    </row>
    <row r="1825" spans="1:13" ht="99.75">
      <c r="A1825" s="199">
        <v>1824</v>
      </c>
      <c r="B1825" s="199" t="s">
        <v>5138</v>
      </c>
      <c r="C1825" s="199" t="s">
        <v>34</v>
      </c>
      <c r="D1825" s="199" t="s">
        <v>35</v>
      </c>
      <c r="E1825" s="199">
        <v>50</v>
      </c>
      <c r="F1825" s="199" t="s">
        <v>591</v>
      </c>
      <c r="G1825" s="199" t="s">
        <v>4755</v>
      </c>
      <c r="H1825" s="200">
        <v>4046</v>
      </c>
      <c r="I1825" s="199" t="s">
        <v>20</v>
      </c>
      <c r="J1825" s="199" t="s">
        <v>415</v>
      </c>
      <c r="K1825" s="201">
        <v>45414</v>
      </c>
      <c r="L1825" s="199" t="s">
        <v>3319</v>
      </c>
      <c r="M1825" s="199" t="s">
        <v>3320</v>
      </c>
    </row>
    <row r="1826" spans="1:13" ht="85.5">
      <c r="A1826" s="199">
        <v>1825</v>
      </c>
      <c r="B1826" s="199" t="s">
        <v>5139</v>
      </c>
      <c r="C1826" s="199" t="s">
        <v>34</v>
      </c>
      <c r="D1826" s="199" t="s">
        <v>35</v>
      </c>
      <c r="E1826" s="199">
        <v>30</v>
      </c>
      <c r="F1826" s="199" t="s">
        <v>679</v>
      </c>
      <c r="G1826" s="199" t="s">
        <v>4755</v>
      </c>
      <c r="H1826" s="200">
        <v>2491.8000000000002</v>
      </c>
      <c r="I1826" s="199" t="s">
        <v>20</v>
      </c>
      <c r="J1826" s="199" t="s">
        <v>415</v>
      </c>
      <c r="K1826" s="201">
        <v>45414</v>
      </c>
      <c r="L1826" s="199" t="s">
        <v>3319</v>
      </c>
      <c r="M1826" s="199" t="s">
        <v>3320</v>
      </c>
    </row>
    <row r="1827" spans="1:13" ht="99.75">
      <c r="A1827" s="199">
        <v>1826</v>
      </c>
      <c r="B1827" s="199" t="s">
        <v>5140</v>
      </c>
      <c r="C1827" s="199" t="s">
        <v>34</v>
      </c>
      <c r="D1827" s="199" t="s">
        <v>35</v>
      </c>
      <c r="E1827" s="199">
        <v>40</v>
      </c>
      <c r="F1827" s="199" t="s">
        <v>8</v>
      </c>
      <c r="G1827" s="199" t="s">
        <v>4755</v>
      </c>
      <c r="H1827" s="200">
        <v>762.4</v>
      </c>
      <c r="I1827" s="199" t="s">
        <v>20</v>
      </c>
      <c r="J1827" s="199" t="s">
        <v>415</v>
      </c>
      <c r="K1827" s="201">
        <v>45414</v>
      </c>
      <c r="L1827" s="199" t="s">
        <v>3319</v>
      </c>
      <c r="M1827" s="199" t="s">
        <v>3320</v>
      </c>
    </row>
    <row r="1828" spans="1:13" ht="114">
      <c r="A1828" s="199">
        <v>1827</v>
      </c>
      <c r="B1828" s="199" t="s">
        <v>5141</v>
      </c>
      <c r="C1828" s="199" t="s">
        <v>34</v>
      </c>
      <c r="D1828" s="199" t="s">
        <v>35</v>
      </c>
      <c r="E1828" s="199">
        <v>25</v>
      </c>
      <c r="F1828" s="199" t="s">
        <v>8</v>
      </c>
      <c r="G1828" s="199" t="s">
        <v>4755</v>
      </c>
      <c r="H1828" s="200">
        <v>887.25</v>
      </c>
      <c r="I1828" s="199" t="s">
        <v>20</v>
      </c>
      <c r="J1828" s="199" t="s">
        <v>415</v>
      </c>
      <c r="K1828" s="201">
        <v>45414</v>
      </c>
      <c r="L1828" s="199" t="s">
        <v>3319</v>
      </c>
      <c r="M1828" s="199" t="s">
        <v>3320</v>
      </c>
    </row>
    <row r="1829" spans="1:13" ht="85.5">
      <c r="A1829" s="199">
        <v>1828</v>
      </c>
      <c r="B1829" s="199" t="s">
        <v>5142</v>
      </c>
      <c r="C1829" s="199" t="s">
        <v>34</v>
      </c>
      <c r="D1829" s="199" t="s">
        <v>35</v>
      </c>
      <c r="E1829" s="199">
        <v>10</v>
      </c>
      <c r="F1829" s="199" t="s">
        <v>8</v>
      </c>
      <c r="G1829" s="199" t="s">
        <v>4755</v>
      </c>
      <c r="H1829" s="200">
        <v>237.3</v>
      </c>
      <c r="I1829" s="199" t="s">
        <v>20</v>
      </c>
      <c r="J1829" s="199" t="s">
        <v>415</v>
      </c>
      <c r="K1829" s="201">
        <v>45414</v>
      </c>
      <c r="L1829" s="199" t="s">
        <v>3319</v>
      </c>
      <c r="M1829" s="199" t="s">
        <v>3320</v>
      </c>
    </row>
    <row r="1830" spans="1:13" ht="85.5">
      <c r="A1830" s="199">
        <v>1829</v>
      </c>
      <c r="B1830" s="199" t="s">
        <v>5143</v>
      </c>
      <c r="C1830" s="199" t="s">
        <v>34</v>
      </c>
      <c r="D1830" s="199" t="s">
        <v>35</v>
      </c>
      <c r="E1830" s="199">
        <v>10</v>
      </c>
      <c r="F1830" s="199" t="s">
        <v>8</v>
      </c>
      <c r="G1830" s="199" t="s">
        <v>4755</v>
      </c>
      <c r="H1830" s="200">
        <v>883.1</v>
      </c>
      <c r="I1830" s="199" t="s">
        <v>20</v>
      </c>
      <c r="J1830" s="199" t="s">
        <v>415</v>
      </c>
      <c r="K1830" s="201">
        <v>45414</v>
      </c>
      <c r="L1830" s="199" t="s">
        <v>3319</v>
      </c>
      <c r="M1830" s="199" t="s">
        <v>3320</v>
      </c>
    </row>
    <row r="1831" spans="1:13" ht="85.5">
      <c r="A1831" s="199">
        <v>1830</v>
      </c>
      <c r="B1831" s="199" t="s">
        <v>5144</v>
      </c>
      <c r="C1831" s="199" t="s">
        <v>34</v>
      </c>
      <c r="D1831" s="199" t="s">
        <v>35</v>
      </c>
      <c r="E1831" s="199">
        <v>10</v>
      </c>
      <c r="F1831" s="199" t="s">
        <v>8</v>
      </c>
      <c r="G1831" s="199" t="s">
        <v>4755</v>
      </c>
      <c r="H1831" s="200">
        <v>899.1</v>
      </c>
      <c r="I1831" s="199" t="s">
        <v>20</v>
      </c>
      <c r="J1831" s="199" t="s">
        <v>415</v>
      </c>
      <c r="K1831" s="201">
        <v>45414</v>
      </c>
      <c r="L1831" s="199" t="s">
        <v>3319</v>
      </c>
      <c r="M1831" s="199" t="s">
        <v>3320</v>
      </c>
    </row>
    <row r="1832" spans="1:13" ht="85.5">
      <c r="A1832" s="199">
        <v>1831</v>
      </c>
      <c r="B1832" s="199" t="s">
        <v>5145</v>
      </c>
      <c r="C1832" s="199" t="s">
        <v>34</v>
      </c>
      <c r="D1832" s="199" t="s">
        <v>35</v>
      </c>
      <c r="E1832" s="199">
        <v>10</v>
      </c>
      <c r="F1832" s="199" t="s">
        <v>8</v>
      </c>
      <c r="G1832" s="199" t="s">
        <v>4755</v>
      </c>
      <c r="H1832" s="200">
        <v>901.7</v>
      </c>
      <c r="I1832" s="199" t="s">
        <v>20</v>
      </c>
      <c r="J1832" s="199" t="s">
        <v>415</v>
      </c>
      <c r="K1832" s="201">
        <v>45414</v>
      </c>
      <c r="L1832" s="199" t="s">
        <v>3319</v>
      </c>
      <c r="M1832" s="199" t="s">
        <v>3320</v>
      </c>
    </row>
    <row r="1833" spans="1:13" ht="85.5">
      <c r="A1833" s="199">
        <v>1832</v>
      </c>
      <c r="B1833" s="199" t="s">
        <v>5146</v>
      </c>
      <c r="C1833" s="199" t="s">
        <v>34</v>
      </c>
      <c r="D1833" s="199" t="s">
        <v>35</v>
      </c>
      <c r="E1833" s="199">
        <v>30</v>
      </c>
      <c r="F1833" s="199" t="s">
        <v>8</v>
      </c>
      <c r="G1833" s="199" t="s">
        <v>4755</v>
      </c>
      <c r="H1833" s="200">
        <v>1115.4000000000001</v>
      </c>
      <c r="I1833" s="199" t="s">
        <v>20</v>
      </c>
      <c r="J1833" s="199" t="s">
        <v>415</v>
      </c>
      <c r="K1833" s="201">
        <v>45414</v>
      </c>
      <c r="L1833" s="199" t="s">
        <v>3319</v>
      </c>
      <c r="M1833" s="199" t="s">
        <v>3320</v>
      </c>
    </row>
    <row r="1834" spans="1:13" ht="85.5">
      <c r="A1834" s="199">
        <v>1833</v>
      </c>
      <c r="B1834" s="199" t="s">
        <v>5147</v>
      </c>
      <c r="C1834" s="199" t="s">
        <v>34</v>
      </c>
      <c r="D1834" s="199" t="s">
        <v>35</v>
      </c>
      <c r="E1834" s="199">
        <v>200</v>
      </c>
      <c r="F1834" s="199" t="s">
        <v>3846</v>
      </c>
      <c r="G1834" s="199" t="s">
        <v>4755</v>
      </c>
      <c r="H1834" s="200">
        <v>6388</v>
      </c>
      <c r="I1834" s="199" t="s">
        <v>20</v>
      </c>
      <c r="J1834" s="199" t="s">
        <v>415</v>
      </c>
      <c r="K1834" s="201">
        <v>45414</v>
      </c>
      <c r="L1834" s="199" t="s">
        <v>3319</v>
      </c>
      <c r="M1834" s="199" t="s">
        <v>3320</v>
      </c>
    </row>
    <row r="1835" spans="1:13" ht="85.5">
      <c r="A1835" s="199">
        <v>1834</v>
      </c>
      <c r="B1835" s="199" t="s">
        <v>5148</v>
      </c>
      <c r="C1835" s="199" t="s">
        <v>34</v>
      </c>
      <c r="D1835" s="199" t="s">
        <v>35</v>
      </c>
      <c r="E1835" s="199">
        <v>200</v>
      </c>
      <c r="F1835" s="199" t="s">
        <v>3846</v>
      </c>
      <c r="G1835" s="199" t="s">
        <v>4755</v>
      </c>
      <c r="H1835" s="200">
        <v>6408</v>
      </c>
      <c r="I1835" s="199" t="s">
        <v>20</v>
      </c>
      <c r="J1835" s="199" t="s">
        <v>415</v>
      </c>
      <c r="K1835" s="201">
        <v>45414</v>
      </c>
      <c r="L1835" s="199" t="s">
        <v>3319</v>
      </c>
      <c r="M1835" s="199" t="s">
        <v>3320</v>
      </c>
    </row>
    <row r="1836" spans="1:13" ht="85.5">
      <c r="A1836" s="199">
        <v>1835</v>
      </c>
      <c r="B1836" s="199" t="s">
        <v>5149</v>
      </c>
      <c r="C1836" s="199" t="s">
        <v>34</v>
      </c>
      <c r="D1836" s="199" t="s">
        <v>35</v>
      </c>
      <c r="E1836" s="199">
        <v>200</v>
      </c>
      <c r="F1836" s="199" t="s">
        <v>3846</v>
      </c>
      <c r="G1836" s="199" t="s">
        <v>4755</v>
      </c>
      <c r="H1836" s="200">
        <v>6274</v>
      </c>
      <c r="I1836" s="199" t="s">
        <v>20</v>
      </c>
      <c r="J1836" s="199" t="s">
        <v>415</v>
      </c>
      <c r="K1836" s="201">
        <v>45414</v>
      </c>
      <c r="L1836" s="199" t="s">
        <v>3319</v>
      </c>
      <c r="M1836" s="199" t="s">
        <v>3320</v>
      </c>
    </row>
    <row r="1837" spans="1:13" ht="85.5">
      <c r="A1837" s="199">
        <v>1836</v>
      </c>
      <c r="B1837" s="199" t="s">
        <v>5150</v>
      </c>
      <c r="C1837" s="199" t="s">
        <v>34</v>
      </c>
      <c r="D1837" s="199" t="s">
        <v>35</v>
      </c>
      <c r="E1837" s="199">
        <v>200</v>
      </c>
      <c r="F1837" s="199" t="s">
        <v>3846</v>
      </c>
      <c r="G1837" s="199" t="s">
        <v>4755</v>
      </c>
      <c r="H1837" s="200">
        <v>6388</v>
      </c>
      <c r="I1837" s="199" t="s">
        <v>20</v>
      </c>
      <c r="J1837" s="199" t="s">
        <v>415</v>
      </c>
      <c r="K1837" s="201">
        <v>45414</v>
      </c>
      <c r="L1837" s="199" t="s">
        <v>3319</v>
      </c>
      <c r="M1837" s="199" t="s">
        <v>3320</v>
      </c>
    </row>
    <row r="1838" spans="1:13" ht="85.5">
      <c r="A1838" s="199">
        <v>1837</v>
      </c>
      <c r="B1838" s="199" t="s">
        <v>5151</v>
      </c>
      <c r="C1838" s="199" t="s">
        <v>34</v>
      </c>
      <c r="D1838" s="199" t="s">
        <v>35</v>
      </c>
      <c r="E1838" s="199">
        <v>200</v>
      </c>
      <c r="F1838" s="199" t="s">
        <v>3846</v>
      </c>
      <c r="G1838" s="199" t="s">
        <v>4755</v>
      </c>
      <c r="H1838" s="200">
        <v>6408</v>
      </c>
      <c r="I1838" s="199" t="s">
        <v>20</v>
      </c>
      <c r="J1838" s="199" t="s">
        <v>415</v>
      </c>
      <c r="K1838" s="201">
        <v>45414</v>
      </c>
      <c r="L1838" s="199" t="s">
        <v>3319</v>
      </c>
      <c r="M1838" s="199" t="s">
        <v>3320</v>
      </c>
    </row>
    <row r="1839" spans="1:13" ht="85.5">
      <c r="A1839" s="199">
        <v>1838</v>
      </c>
      <c r="B1839" s="199" t="s">
        <v>5152</v>
      </c>
      <c r="C1839" s="199" t="s">
        <v>34</v>
      </c>
      <c r="D1839" s="199" t="s">
        <v>35</v>
      </c>
      <c r="E1839" s="199">
        <v>200</v>
      </c>
      <c r="F1839" s="199" t="s">
        <v>3846</v>
      </c>
      <c r="G1839" s="199" t="s">
        <v>4755</v>
      </c>
      <c r="H1839" s="200">
        <v>6274</v>
      </c>
      <c r="I1839" s="199" t="s">
        <v>20</v>
      </c>
      <c r="J1839" s="199" t="s">
        <v>415</v>
      </c>
      <c r="K1839" s="201">
        <v>45414</v>
      </c>
      <c r="L1839" s="199" t="s">
        <v>3319</v>
      </c>
      <c r="M1839" s="199" t="s">
        <v>3320</v>
      </c>
    </row>
    <row r="1840" spans="1:13" ht="85.5">
      <c r="A1840" s="199">
        <v>1839</v>
      </c>
      <c r="B1840" s="199" t="s">
        <v>5153</v>
      </c>
      <c r="C1840" s="199" t="s">
        <v>34</v>
      </c>
      <c r="D1840" s="199" t="s">
        <v>35</v>
      </c>
      <c r="E1840" s="199">
        <v>200</v>
      </c>
      <c r="F1840" s="199" t="s">
        <v>3846</v>
      </c>
      <c r="G1840" s="199" t="s">
        <v>4755</v>
      </c>
      <c r="H1840" s="200">
        <v>6388</v>
      </c>
      <c r="I1840" s="199" t="s">
        <v>20</v>
      </c>
      <c r="J1840" s="199" t="s">
        <v>415</v>
      </c>
      <c r="K1840" s="201">
        <v>45414</v>
      </c>
      <c r="L1840" s="199" t="s">
        <v>3319</v>
      </c>
      <c r="M1840" s="199" t="s">
        <v>3320</v>
      </c>
    </row>
    <row r="1841" spans="1:13" ht="85.5">
      <c r="A1841" s="199">
        <v>1840</v>
      </c>
      <c r="B1841" s="199" t="s">
        <v>5154</v>
      </c>
      <c r="C1841" s="199" t="s">
        <v>34</v>
      </c>
      <c r="D1841" s="199" t="s">
        <v>35</v>
      </c>
      <c r="E1841" s="199">
        <v>200</v>
      </c>
      <c r="F1841" s="199" t="s">
        <v>3846</v>
      </c>
      <c r="G1841" s="199" t="s">
        <v>4755</v>
      </c>
      <c r="H1841" s="200">
        <v>6408</v>
      </c>
      <c r="I1841" s="199" t="s">
        <v>20</v>
      </c>
      <c r="J1841" s="199" t="s">
        <v>415</v>
      </c>
      <c r="K1841" s="201">
        <v>45414</v>
      </c>
      <c r="L1841" s="199" t="s">
        <v>3319</v>
      </c>
      <c r="M1841" s="199" t="s">
        <v>3320</v>
      </c>
    </row>
    <row r="1842" spans="1:13" ht="85.5">
      <c r="A1842" s="199">
        <v>1841</v>
      </c>
      <c r="B1842" s="199" t="s">
        <v>5155</v>
      </c>
      <c r="C1842" s="199" t="s">
        <v>34</v>
      </c>
      <c r="D1842" s="199" t="s">
        <v>35</v>
      </c>
      <c r="E1842" s="199">
        <v>50</v>
      </c>
      <c r="F1842" s="199" t="s">
        <v>3846</v>
      </c>
      <c r="G1842" s="199" t="s">
        <v>4755</v>
      </c>
      <c r="H1842" s="200">
        <v>1568.5</v>
      </c>
      <c r="I1842" s="199" t="s">
        <v>20</v>
      </c>
      <c r="J1842" s="199" t="s">
        <v>415</v>
      </c>
      <c r="K1842" s="201">
        <v>45414</v>
      </c>
      <c r="L1842" s="199" t="s">
        <v>3319</v>
      </c>
      <c r="M1842" s="199" t="s">
        <v>3320</v>
      </c>
    </row>
    <row r="1843" spans="1:13" ht="85.5">
      <c r="A1843" s="199">
        <v>1842</v>
      </c>
      <c r="B1843" s="199" t="s">
        <v>5156</v>
      </c>
      <c r="C1843" s="199" t="s">
        <v>34</v>
      </c>
      <c r="D1843" s="199" t="s">
        <v>35</v>
      </c>
      <c r="E1843" s="199">
        <v>50</v>
      </c>
      <c r="F1843" s="199" t="s">
        <v>3846</v>
      </c>
      <c r="G1843" s="199" t="s">
        <v>4755</v>
      </c>
      <c r="H1843" s="200">
        <v>1597</v>
      </c>
      <c r="I1843" s="199" t="s">
        <v>20</v>
      </c>
      <c r="J1843" s="199" t="s">
        <v>415</v>
      </c>
      <c r="K1843" s="201">
        <v>45414</v>
      </c>
      <c r="L1843" s="199" t="s">
        <v>3319</v>
      </c>
      <c r="M1843" s="199" t="s">
        <v>3320</v>
      </c>
    </row>
    <row r="1844" spans="1:13" ht="85.5">
      <c r="A1844" s="199">
        <v>1843</v>
      </c>
      <c r="B1844" s="199" t="s">
        <v>5157</v>
      </c>
      <c r="C1844" s="199" t="s">
        <v>34</v>
      </c>
      <c r="D1844" s="199" t="s">
        <v>35</v>
      </c>
      <c r="E1844" s="199">
        <v>100</v>
      </c>
      <c r="F1844" s="199" t="s">
        <v>3846</v>
      </c>
      <c r="G1844" s="199" t="s">
        <v>4755</v>
      </c>
      <c r="H1844" s="200">
        <v>3204</v>
      </c>
      <c r="I1844" s="199" t="s">
        <v>20</v>
      </c>
      <c r="J1844" s="199" t="s">
        <v>415</v>
      </c>
      <c r="K1844" s="201">
        <v>45414</v>
      </c>
      <c r="L1844" s="199" t="s">
        <v>3319</v>
      </c>
      <c r="M1844" s="199" t="s">
        <v>3320</v>
      </c>
    </row>
    <row r="1845" spans="1:13" ht="85.5">
      <c r="A1845" s="199">
        <v>1844</v>
      </c>
      <c r="B1845" s="199" t="s">
        <v>5158</v>
      </c>
      <c r="C1845" s="199" t="s">
        <v>34</v>
      </c>
      <c r="D1845" s="199" t="s">
        <v>35</v>
      </c>
      <c r="E1845" s="199">
        <v>100</v>
      </c>
      <c r="F1845" s="199" t="s">
        <v>3846</v>
      </c>
      <c r="G1845" s="199" t="s">
        <v>4755</v>
      </c>
      <c r="H1845" s="200">
        <v>3137</v>
      </c>
      <c r="I1845" s="199" t="s">
        <v>20</v>
      </c>
      <c r="J1845" s="199" t="s">
        <v>415</v>
      </c>
      <c r="K1845" s="201">
        <v>45414</v>
      </c>
      <c r="L1845" s="199" t="s">
        <v>3319</v>
      </c>
      <c r="M1845" s="199" t="s">
        <v>3320</v>
      </c>
    </row>
    <row r="1846" spans="1:13" ht="85.5">
      <c r="A1846" s="199">
        <v>1845</v>
      </c>
      <c r="B1846" s="199" t="s">
        <v>5159</v>
      </c>
      <c r="C1846" s="199" t="s">
        <v>34</v>
      </c>
      <c r="D1846" s="199" t="s">
        <v>35</v>
      </c>
      <c r="E1846" s="199">
        <v>50</v>
      </c>
      <c r="F1846" s="199" t="s">
        <v>3846</v>
      </c>
      <c r="G1846" s="199" t="s">
        <v>4755</v>
      </c>
      <c r="H1846" s="200">
        <v>1597</v>
      </c>
      <c r="I1846" s="199" t="s">
        <v>20</v>
      </c>
      <c r="J1846" s="199" t="s">
        <v>415</v>
      </c>
      <c r="K1846" s="201">
        <v>45414</v>
      </c>
      <c r="L1846" s="199" t="s">
        <v>3319</v>
      </c>
      <c r="M1846" s="199" t="s">
        <v>3320</v>
      </c>
    </row>
    <row r="1847" spans="1:13" ht="85.5">
      <c r="A1847" s="199">
        <v>1846</v>
      </c>
      <c r="B1847" s="199" t="s">
        <v>5160</v>
      </c>
      <c r="C1847" s="199" t="s">
        <v>34</v>
      </c>
      <c r="D1847" s="199" t="s">
        <v>35</v>
      </c>
      <c r="E1847" s="199">
        <v>50</v>
      </c>
      <c r="F1847" s="199" t="s">
        <v>3846</v>
      </c>
      <c r="G1847" s="199" t="s">
        <v>4755</v>
      </c>
      <c r="H1847" s="200">
        <v>1602</v>
      </c>
      <c r="I1847" s="199" t="s">
        <v>20</v>
      </c>
      <c r="J1847" s="199" t="s">
        <v>415</v>
      </c>
      <c r="K1847" s="201">
        <v>45414</v>
      </c>
      <c r="L1847" s="199" t="s">
        <v>3319</v>
      </c>
      <c r="M1847" s="199" t="s">
        <v>3320</v>
      </c>
    </row>
    <row r="1848" spans="1:13" ht="85.5">
      <c r="A1848" s="199">
        <v>1847</v>
      </c>
      <c r="B1848" s="199" t="s">
        <v>5161</v>
      </c>
      <c r="C1848" s="199" t="s">
        <v>34</v>
      </c>
      <c r="D1848" s="199" t="s">
        <v>35</v>
      </c>
      <c r="E1848" s="199">
        <v>50</v>
      </c>
      <c r="F1848" s="199" t="s">
        <v>3846</v>
      </c>
      <c r="G1848" s="199" t="s">
        <v>4755</v>
      </c>
      <c r="H1848" s="200">
        <v>1568.5</v>
      </c>
      <c r="I1848" s="199" t="s">
        <v>20</v>
      </c>
      <c r="J1848" s="199" t="s">
        <v>415</v>
      </c>
      <c r="K1848" s="201">
        <v>45414</v>
      </c>
      <c r="L1848" s="199" t="s">
        <v>3319</v>
      </c>
      <c r="M1848" s="199" t="s">
        <v>3320</v>
      </c>
    </row>
    <row r="1849" spans="1:13" ht="85.5">
      <c r="A1849" s="199">
        <v>1848</v>
      </c>
      <c r="B1849" s="199" t="s">
        <v>5162</v>
      </c>
      <c r="C1849" s="199" t="s">
        <v>34</v>
      </c>
      <c r="D1849" s="199" t="s">
        <v>35</v>
      </c>
      <c r="E1849" s="199">
        <v>50</v>
      </c>
      <c r="F1849" s="199" t="s">
        <v>3846</v>
      </c>
      <c r="G1849" s="199" t="s">
        <v>4755</v>
      </c>
      <c r="H1849" s="200">
        <v>1597</v>
      </c>
      <c r="I1849" s="199" t="s">
        <v>20</v>
      </c>
      <c r="J1849" s="199" t="s">
        <v>415</v>
      </c>
      <c r="K1849" s="201">
        <v>45414</v>
      </c>
      <c r="L1849" s="199" t="s">
        <v>3319</v>
      </c>
      <c r="M1849" s="199" t="s">
        <v>3320</v>
      </c>
    </row>
    <row r="1850" spans="1:13" ht="85.5">
      <c r="A1850" s="199">
        <v>1849</v>
      </c>
      <c r="B1850" s="199" t="s">
        <v>5163</v>
      </c>
      <c r="C1850" s="199" t="s">
        <v>34</v>
      </c>
      <c r="D1850" s="199" t="s">
        <v>35</v>
      </c>
      <c r="E1850" s="199">
        <v>50</v>
      </c>
      <c r="F1850" s="199" t="s">
        <v>3846</v>
      </c>
      <c r="G1850" s="199" t="s">
        <v>4755</v>
      </c>
      <c r="H1850" s="200">
        <v>1602</v>
      </c>
      <c r="I1850" s="199" t="s">
        <v>20</v>
      </c>
      <c r="J1850" s="199" t="s">
        <v>415</v>
      </c>
      <c r="K1850" s="201">
        <v>45414</v>
      </c>
      <c r="L1850" s="199" t="s">
        <v>3319</v>
      </c>
      <c r="M1850" s="199" t="s">
        <v>3320</v>
      </c>
    </row>
    <row r="1851" spans="1:13" ht="85.5">
      <c r="A1851" s="199">
        <v>1850</v>
      </c>
      <c r="B1851" s="199" t="s">
        <v>5164</v>
      </c>
      <c r="C1851" s="199" t="s">
        <v>34</v>
      </c>
      <c r="D1851" s="199" t="s">
        <v>35</v>
      </c>
      <c r="E1851" s="199">
        <v>50</v>
      </c>
      <c r="F1851" s="199" t="s">
        <v>3846</v>
      </c>
      <c r="G1851" s="199" t="s">
        <v>4755</v>
      </c>
      <c r="H1851" s="200">
        <v>1568.5</v>
      </c>
      <c r="I1851" s="199" t="s">
        <v>20</v>
      </c>
      <c r="J1851" s="199" t="s">
        <v>415</v>
      </c>
      <c r="K1851" s="201">
        <v>45414</v>
      </c>
      <c r="L1851" s="199" t="s">
        <v>3319</v>
      </c>
      <c r="M1851" s="199" t="s">
        <v>3320</v>
      </c>
    </row>
    <row r="1852" spans="1:13" ht="85.5">
      <c r="A1852" s="199">
        <v>1851</v>
      </c>
      <c r="B1852" s="199" t="s">
        <v>5165</v>
      </c>
      <c r="C1852" s="199" t="s">
        <v>34</v>
      </c>
      <c r="D1852" s="199" t="s">
        <v>35</v>
      </c>
      <c r="E1852" s="199">
        <v>50</v>
      </c>
      <c r="F1852" s="199" t="s">
        <v>3846</v>
      </c>
      <c r="G1852" s="199" t="s">
        <v>4755</v>
      </c>
      <c r="H1852" s="200">
        <v>1597</v>
      </c>
      <c r="I1852" s="199" t="s">
        <v>20</v>
      </c>
      <c r="J1852" s="199" t="s">
        <v>415</v>
      </c>
      <c r="K1852" s="201">
        <v>45414</v>
      </c>
      <c r="L1852" s="199" t="s">
        <v>3319</v>
      </c>
      <c r="M1852" s="199" t="s">
        <v>3320</v>
      </c>
    </row>
    <row r="1853" spans="1:13" ht="85.5">
      <c r="A1853" s="199">
        <v>1852</v>
      </c>
      <c r="B1853" s="199" t="s">
        <v>5166</v>
      </c>
      <c r="C1853" s="199" t="s">
        <v>34</v>
      </c>
      <c r="D1853" s="199" t="s">
        <v>35</v>
      </c>
      <c r="E1853" s="199">
        <v>50</v>
      </c>
      <c r="F1853" s="199" t="s">
        <v>3846</v>
      </c>
      <c r="G1853" s="199" t="s">
        <v>4755</v>
      </c>
      <c r="H1853" s="200">
        <v>1602</v>
      </c>
      <c r="I1853" s="199" t="s">
        <v>20</v>
      </c>
      <c r="J1853" s="199" t="s">
        <v>415</v>
      </c>
      <c r="K1853" s="201">
        <v>45414</v>
      </c>
      <c r="L1853" s="199" t="s">
        <v>3319</v>
      </c>
      <c r="M1853" s="199" t="s">
        <v>3320</v>
      </c>
    </row>
    <row r="1854" spans="1:13" ht="85.5">
      <c r="A1854" s="199">
        <v>1853</v>
      </c>
      <c r="B1854" s="199" t="s">
        <v>5167</v>
      </c>
      <c r="C1854" s="199" t="s">
        <v>34</v>
      </c>
      <c r="D1854" s="199" t="s">
        <v>35</v>
      </c>
      <c r="E1854" s="199">
        <v>50</v>
      </c>
      <c r="F1854" s="199" t="s">
        <v>3846</v>
      </c>
      <c r="G1854" s="199" t="s">
        <v>4755</v>
      </c>
      <c r="H1854" s="200">
        <v>1568.5</v>
      </c>
      <c r="I1854" s="199" t="s">
        <v>20</v>
      </c>
      <c r="J1854" s="199" t="s">
        <v>415</v>
      </c>
      <c r="K1854" s="201">
        <v>45414</v>
      </c>
      <c r="L1854" s="199" t="s">
        <v>3319</v>
      </c>
      <c r="M1854" s="199" t="s">
        <v>3320</v>
      </c>
    </row>
    <row r="1855" spans="1:13" ht="85.5">
      <c r="A1855" s="199">
        <v>1854</v>
      </c>
      <c r="B1855" s="199" t="s">
        <v>5168</v>
      </c>
      <c r="C1855" s="199" t="s">
        <v>34</v>
      </c>
      <c r="D1855" s="199" t="s">
        <v>35</v>
      </c>
      <c r="E1855" s="199">
        <v>50</v>
      </c>
      <c r="F1855" s="199" t="s">
        <v>3846</v>
      </c>
      <c r="G1855" s="199" t="s">
        <v>4755</v>
      </c>
      <c r="H1855" s="200">
        <v>1597</v>
      </c>
      <c r="I1855" s="199" t="s">
        <v>20</v>
      </c>
      <c r="J1855" s="199" t="s">
        <v>415</v>
      </c>
      <c r="K1855" s="201">
        <v>45414</v>
      </c>
      <c r="L1855" s="199" t="s">
        <v>3319</v>
      </c>
      <c r="M1855" s="199" t="s">
        <v>3320</v>
      </c>
    </row>
    <row r="1856" spans="1:13" ht="85.5">
      <c r="A1856" s="199">
        <v>1855</v>
      </c>
      <c r="B1856" s="199" t="s">
        <v>5169</v>
      </c>
      <c r="C1856" s="199" t="s">
        <v>34</v>
      </c>
      <c r="D1856" s="199" t="s">
        <v>35</v>
      </c>
      <c r="E1856" s="199">
        <v>50</v>
      </c>
      <c r="F1856" s="199" t="s">
        <v>3846</v>
      </c>
      <c r="G1856" s="199" t="s">
        <v>4755</v>
      </c>
      <c r="H1856" s="200">
        <v>1602</v>
      </c>
      <c r="I1856" s="199" t="s">
        <v>20</v>
      </c>
      <c r="J1856" s="199" t="s">
        <v>415</v>
      </c>
      <c r="K1856" s="201">
        <v>45414</v>
      </c>
      <c r="L1856" s="199" t="s">
        <v>3319</v>
      </c>
      <c r="M1856" s="199" t="s">
        <v>3320</v>
      </c>
    </row>
    <row r="1857" spans="1:13" ht="85.5">
      <c r="A1857" s="199">
        <v>1856</v>
      </c>
      <c r="B1857" s="199" t="s">
        <v>5170</v>
      </c>
      <c r="C1857" s="199" t="s">
        <v>34</v>
      </c>
      <c r="D1857" s="199" t="s">
        <v>35</v>
      </c>
      <c r="E1857" s="199">
        <v>50</v>
      </c>
      <c r="F1857" s="199" t="s">
        <v>3846</v>
      </c>
      <c r="G1857" s="199" t="s">
        <v>4755</v>
      </c>
      <c r="H1857" s="200">
        <v>1568.5</v>
      </c>
      <c r="I1857" s="199" t="s">
        <v>20</v>
      </c>
      <c r="J1857" s="199" t="s">
        <v>415</v>
      </c>
      <c r="K1857" s="201">
        <v>45414</v>
      </c>
      <c r="L1857" s="199" t="s">
        <v>3319</v>
      </c>
      <c r="M1857" s="199" t="s">
        <v>3320</v>
      </c>
    </row>
    <row r="1858" spans="1:13" ht="85.5">
      <c r="A1858" s="199">
        <v>1857</v>
      </c>
      <c r="B1858" s="199" t="s">
        <v>5171</v>
      </c>
      <c r="C1858" s="199" t="s">
        <v>34</v>
      </c>
      <c r="D1858" s="199" t="s">
        <v>35</v>
      </c>
      <c r="E1858" s="199">
        <v>50</v>
      </c>
      <c r="F1858" s="199" t="s">
        <v>3846</v>
      </c>
      <c r="G1858" s="199" t="s">
        <v>4755</v>
      </c>
      <c r="H1858" s="200">
        <v>1597</v>
      </c>
      <c r="I1858" s="199" t="s">
        <v>20</v>
      </c>
      <c r="J1858" s="199" t="s">
        <v>415</v>
      </c>
      <c r="K1858" s="201">
        <v>45414</v>
      </c>
      <c r="L1858" s="199" t="s">
        <v>3319</v>
      </c>
      <c r="M1858" s="199" t="s">
        <v>3320</v>
      </c>
    </row>
    <row r="1859" spans="1:13" ht="85.5">
      <c r="A1859" s="199">
        <v>1858</v>
      </c>
      <c r="B1859" s="199" t="s">
        <v>5172</v>
      </c>
      <c r="C1859" s="199" t="s">
        <v>34</v>
      </c>
      <c r="D1859" s="199" t="s">
        <v>35</v>
      </c>
      <c r="E1859" s="199">
        <v>50</v>
      </c>
      <c r="F1859" s="199" t="s">
        <v>3846</v>
      </c>
      <c r="G1859" s="199" t="s">
        <v>4755</v>
      </c>
      <c r="H1859" s="200">
        <v>1602</v>
      </c>
      <c r="I1859" s="199" t="s">
        <v>20</v>
      </c>
      <c r="J1859" s="199" t="s">
        <v>415</v>
      </c>
      <c r="K1859" s="201">
        <v>45414</v>
      </c>
      <c r="L1859" s="199" t="s">
        <v>3319</v>
      </c>
      <c r="M1859" s="199" t="s">
        <v>3320</v>
      </c>
    </row>
    <row r="1860" spans="1:13" ht="85.5">
      <c r="A1860" s="199">
        <v>1859</v>
      </c>
      <c r="B1860" s="199" t="s">
        <v>5173</v>
      </c>
      <c r="C1860" s="199" t="s">
        <v>34</v>
      </c>
      <c r="D1860" s="199" t="s">
        <v>35</v>
      </c>
      <c r="E1860" s="199">
        <v>50</v>
      </c>
      <c r="F1860" s="199" t="s">
        <v>3846</v>
      </c>
      <c r="G1860" s="199" t="s">
        <v>4755</v>
      </c>
      <c r="H1860" s="200">
        <v>1568.5</v>
      </c>
      <c r="I1860" s="199" t="s">
        <v>20</v>
      </c>
      <c r="J1860" s="199" t="s">
        <v>415</v>
      </c>
      <c r="K1860" s="201">
        <v>45414</v>
      </c>
      <c r="L1860" s="199" t="s">
        <v>3319</v>
      </c>
      <c r="M1860" s="199" t="s">
        <v>3320</v>
      </c>
    </row>
    <row r="1861" spans="1:13" ht="85.5">
      <c r="A1861" s="199">
        <v>1860</v>
      </c>
      <c r="B1861" s="199" t="s">
        <v>5174</v>
      </c>
      <c r="C1861" s="199" t="s">
        <v>34</v>
      </c>
      <c r="D1861" s="199" t="s">
        <v>35</v>
      </c>
      <c r="E1861" s="199">
        <v>50</v>
      </c>
      <c r="F1861" s="199" t="s">
        <v>3846</v>
      </c>
      <c r="G1861" s="199" t="s">
        <v>4755</v>
      </c>
      <c r="H1861" s="200">
        <v>1597</v>
      </c>
      <c r="I1861" s="199" t="s">
        <v>20</v>
      </c>
      <c r="J1861" s="199" t="s">
        <v>415</v>
      </c>
      <c r="K1861" s="201">
        <v>45414</v>
      </c>
      <c r="L1861" s="199" t="s">
        <v>3319</v>
      </c>
      <c r="M1861" s="199" t="s">
        <v>3320</v>
      </c>
    </row>
    <row r="1862" spans="1:13" ht="85.5">
      <c r="A1862" s="199">
        <v>1861</v>
      </c>
      <c r="B1862" s="199" t="s">
        <v>5175</v>
      </c>
      <c r="C1862" s="199" t="s">
        <v>34</v>
      </c>
      <c r="D1862" s="199" t="s">
        <v>35</v>
      </c>
      <c r="E1862" s="199">
        <v>50</v>
      </c>
      <c r="F1862" s="199" t="s">
        <v>3846</v>
      </c>
      <c r="G1862" s="199" t="s">
        <v>4755</v>
      </c>
      <c r="H1862" s="200">
        <v>1602</v>
      </c>
      <c r="I1862" s="199" t="s">
        <v>20</v>
      </c>
      <c r="J1862" s="199" t="s">
        <v>415</v>
      </c>
      <c r="K1862" s="201">
        <v>45414</v>
      </c>
      <c r="L1862" s="199" t="s">
        <v>3319</v>
      </c>
      <c r="M1862" s="199" t="s">
        <v>3320</v>
      </c>
    </row>
    <row r="1863" spans="1:13" ht="85.5">
      <c r="A1863" s="199">
        <v>1862</v>
      </c>
      <c r="B1863" s="199" t="s">
        <v>5176</v>
      </c>
      <c r="C1863" s="199" t="s">
        <v>34</v>
      </c>
      <c r="D1863" s="199" t="s">
        <v>35</v>
      </c>
      <c r="E1863" s="199">
        <v>50</v>
      </c>
      <c r="F1863" s="199" t="s">
        <v>3846</v>
      </c>
      <c r="G1863" s="199" t="s">
        <v>4755</v>
      </c>
      <c r="H1863" s="200">
        <v>1568.5</v>
      </c>
      <c r="I1863" s="199" t="s">
        <v>20</v>
      </c>
      <c r="J1863" s="199" t="s">
        <v>415</v>
      </c>
      <c r="K1863" s="201">
        <v>45414</v>
      </c>
      <c r="L1863" s="199" t="s">
        <v>3319</v>
      </c>
      <c r="M1863" s="199" t="s">
        <v>3320</v>
      </c>
    </row>
    <row r="1864" spans="1:13" ht="85.5">
      <c r="A1864" s="199">
        <v>1863</v>
      </c>
      <c r="B1864" s="199" t="s">
        <v>5177</v>
      </c>
      <c r="C1864" s="199" t="s">
        <v>34</v>
      </c>
      <c r="D1864" s="199" t="s">
        <v>35</v>
      </c>
      <c r="E1864" s="199">
        <v>50</v>
      </c>
      <c r="F1864" s="199" t="s">
        <v>3846</v>
      </c>
      <c r="G1864" s="199" t="s">
        <v>4755</v>
      </c>
      <c r="H1864" s="200">
        <v>1597</v>
      </c>
      <c r="I1864" s="199" t="s">
        <v>20</v>
      </c>
      <c r="J1864" s="199" t="s">
        <v>415</v>
      </c>
      <c r="K1864" s="201">
        <v>45414</v>
      </c>
      <c r="L1864" s="199" t="s">
        <v>3319</v>
      </c>
      <c r="M1864" s="199" t="s">
        <v>3320</v>
      </c>
    </row>
    <row r="1865" spans="1:13" ht="85.5">
      <c r="A1865" s="199">
        <v>1864</v>
      </c>
      <c r="B1865" s="199" t="s">
        <v>5178</v>
      </c>
      <c r="C1865" s="199" t="s">
        <v>34</v>
      </c>
      <c r="D1865" s="199" t="s">
        <v>35</v>
      </c>
      <c r="E1865" s="199">
        <v>50</v>
      </c>
      <c r="F1865" s="199" t="s">
        <v>3846</v>
      </c>
      <c r="G1865" s="199" t="s">
        <v>4755</v>
      </c>
      <c r="H1865" s="200">
        <v>1602</v>
      </c>
      <c r="I1865" s="199" t="s">
        <v>20</v>
      </c>
      <c r="J1865" s="199" t="s">
        <v>415</v>
      </c>
      <c r="K1865" s="201">
        <v>45414</v>
      </c>
      <c r="L1865" s="199" t="s">
        <v>3319</v>
      </c>
      <c r="M1865" s="199" t="s">
        <v>3320</v>
      </c>
    </row>
    <row r="1866" spans="1:13" ht="85.5">
      <c r="A1866" s="199">
        <v>1865</v>
      </c>
      <c r="B1866" s="199" t="s">
        <v>5179</v>
      </c>
      <c r="C1866" s="199" t="s">
        <v>34</v>
      </c>
      <c r="D1866" s="199" t="s">
        <v>35</v>
      </c>
      <c r="E1866" s="199">
        <v>50</v>
      </c>
      <c r="F1866" s="199" t="s">
        <v>3846</v>
      </c>
      <c r="G1866" s="199" t="s">
        <v>4755</v>
      </c>
      <c r="H1866" s="200">
        <v>1568.5</v>
      </c>
      <c r="I1866" s="199" t="s">
        <v>20</v>
      </c>
      <c r="J1866" s="199" t="s">
        <v>415</v>
      </c>
      <c r="K1866" s="201">
        <v>45414</v>
      </c>
      <c r="L1866" s="199" t="s">
        <v>3319</v>
      </c>
      <c r="M1866" s="199" t="s">
        <v>3320</v>
      </c>
    </row>
    <row r="1867" spans="1:13" ht="85.5">
      <c r="A1867" s="199">
        <v>1866</v>
      </c>
      <c r="B1867" s="199" t="s">
        <v>5180</v>
      </c>
      <c r="C1867" s="199" t="s">
        <v>34</v>
      </c>
      <c r="D1867" s="199" t="s">
        <v>35</v>
      </c>
      <c r="E1867" s="199">
        <v>50</v>
      </c>
      <c r="F1867" s="199" t="s">
        <v>3846</v>
      </c>
      <c r="G1867" s="199" t="s">
        <v>4755</v>
      </c>
      <c r="H1867" s="200">
        <v>1597</v>
      </c>
      <c r="I1867" s="199" t="s">
        <v>20</v>
      </c>
      <c r="J1867" s="199" t="s">
        <v>415</v>
      </c>
      <c r="K1867" s="201">
        <v>45414</v>
      </c>
      <c r="L1867" s="199" t="s">
        <v>3319</v>
      </c>
      <c r="M1867" s="199" t="s">
        <v>3320</v>
      </c>
    </row>
    <row r="1868" spans="1:13" ht="85.5">
      <c r="A1868" s="199">
        <v>1867</v>
      </c>
      <c r="B1868" s="199" t="s">
        <v>5181</v>
      </c>
      <c r="C1868" s="199" t="s">
        <v>34</v>
      </c>
      <c r="D1868" s="199" t="s">
        <v>35</v>
      </c>
      <c r="E1868" s="199">
        <v>50</v>
      </c>
      <c r="F1868" s="199" t="s">
        <v>3846</v>
      </c>
      <c r="G1868" s="199" t="s">
        <v>4755</v>
      </c>
      <c r="H1868" s="200">
        <v>1602</v>
      </c>
      <c r="I1868" s="199" t="s">
        <v>20</v>
      </c>
      <c r="J1868" s="199" t="s">
        <v>415</v>
      </c>
      <c r="K1868" s="201">
        <v>45414</v>
      </c>
      <c r="L1868" s="199" t="s">
        <v>3319</v>
      </c>
      <c r="M1868" s="199" t="s">
        <v>3320</v>
      </c>
    </row>
    <row r="1869" spans="1:13" ht="85.5">
      <c r="A1869" s="199">
        <v>1868</v>
      </c>
      <c r="B1869" s="199" t="s">
        <v>5182</v>
      </c>
      <c r="C1869" s="199" t="s">
        <v>34</v>
      </c>
      <c r="D1869" s="199" t="s">
        <v>35</v>
      </c>
      <c r="E1869" s="199">
        <v>50</v>
      </c>
      <c r="F1869" s="199" t="s">
        <v>3846</v>
      </c>
      <c r="G1869" s="199" t="s">
        <v>4755</v>
      </c>
      <c r="H1869" s="200">
        <v>1568.5</v>
      </c>
      <c r="I1869" s="199" t="s">
        <v>20</v>
      </c>
      <c r="J1869" s="199" t="s">
        <v>415</v>
      </c>
      <c r="K1869" s="201">
        <v>45414</v>
      </c>
      <c r="L1869" s="199" t="s">
        <v>3319</v>
      </c>
      <c r="M1869" s="199" t="s">
        <v>3320</v>
      </c>
    </row>
    <row r="1870" spans="1:13" ht="85.5">
      <c r="A1870" s="199">
        <v>1869</v>
      </c>
      <c r="B1870" s="199" t="s">
        <v>5183</v>
      </c>
      <c r="C1870" s="199" t="s">
        <v>34</v>
      </c>
      <c r="D1870" s="199" t="s">
        <v>35</v>
      </c>
      <c r="E1870" s="199">
        <v>50</v>
      </c>
      <c r="F1870" s="199" t="s">
        <v>3846</v>
      </c>
      <c r="G1870" s="199" t="s">
        <v>4755</v>
      </c>
      <c r="H1870" s="200">
        <v>1597</v>
      </c>
      <c r="I1870" s="199" t="s">
        <v>20</v>
      </c>
      <c r="J1870" s="199" t="s">
        <v>415</v>
      </c>
      <c r="K1870" s="201">
        <v>45414</v>
      </c>
      <c r="L1870" s="199" t="s">
        <v>3319</v>
      </c>
      <c r="M1870" s="199" t="s">
        <v>3320</v>
      </c>
    </row>
    <row r="1871" spans="1:13" ht="85.5">
      <c r="A1871" s="199">
        <v>1870</v>
      </c>
      <c r="B1871" s="199" t="s">
        <v>5184</v>
      </c>
      <c r="C1871" s="199" t="s">
        <v>34</v>
      </c>
      <c r="D1871" s="199" t="s">
        <v>35</v>
      </c>
      <c r="E1871" s="199">
        <v>50</v>
      </c>
      <c r="F1871" s="199" t="s">
        <v>3846</v>
      </c>
      <c r="G1871" s="199" t="s">
        <v>4755</v>
      </c>
      <c r="H1871" s="200">
        <v>1602</v>
      </c>
      <c r="I1871" s="199" t="s">
        <v>20</v>
      </c>
      <c r="J1871" s="199" t="s">
        <v>415</v>
      </c>
      <c r="K1871" s="201">
        <v>45414</v>
      </c>
      <c r="L1871" s="199" t="s">
        <v>3319</v>
      </c>
      <c r="M1871" s="199" t="s">
        <v>3320</v>
      </c>
    </row>
    <row r="1872" spans="1:13" ht="85.5">
      <c r="A1872" s="199">
        <v>1871</v>
      </c>
      <c r="B1872" s="199" t="s">
        <v>5185</v>
      </c>
      <c r="C1872" s="199" t="s">
        <v>34</v>
      </c>
      <c r="D1872" s="199" t="s">
        <v>35</v>
      </c>
      <c r="E1872" s="199">
        <v>50</v>
      </c>
      <c r="F1872" s="199" t="s">
        <v>3846</v>
      </c>
      <c r="G1872" s="199" t="s">
        <v>4755</v>
      </c>
      <c r="H1872" s="200">
        <v>1568.5</v>
      </c>
      <c r="I1872" s="199" t="s">
        <v>20</v>
      </c>
      <c r="J1872" s="199" t="s">
        <v>415</v>
      </c>
      <c r="K1872" s="201">
        <v>45414</v>
      </c>
      <c r="L1872" s="199" t="s">
        <v>3319</v>
      </c>
      <c r="M1872" s="199" t="s">
        <v>3320</v>
      </c>
    </row>
    <row r="1873" spans="1:13" ht="85.5">
      <c r="A1873" s="199">
        <v>1872</v>
      </c>
      <c r="B1873" s="199" t="s">
        <v>5186</v>
      </c>
      <c r="C1873" s="199" t="s">
        <v>34</v>
      </c>
      <c r="D1873" s="199" t="s">
        <v>35</v>
      </c>
      <c r="E1873" s="199">
        <v>50</v>
      </c>
      <c r="F1873" s="199" t="s">
        <v>3846</v>
      </c>
      <c r="G1873" s="199" t="s">
        <v>4755</v>
      </c>
      <c r="H1873" s="200">
        <v>1597</v>
      </c>
      <c r="I1873" s="199" t="s">
        <v>20</v>
      </c>
      <c r="J1873" s="199" t="s">
        <v>415</v>
      </c>
      <c r="K1873" s="201">
        <v>45414</v>
      </c>
      <c r="L1873" s="199" t="s">
        <v>3319</v>
      </c>
      <c r="M1873" s="199" t="s">
        <v>3320</v>
      </c>
    </row>
    <row r="1874" spans="1:13" ht="85.5">
      <c r="A1874" s="199">
        <v>1873</v>
      </c>
      <c r="B1874" s="199" t="s">
        <v>5187</v>
      </c>
      <c r="C1874" s="199" t="s">
        <v>34</v>
      </c>
      <c r="D1874" s="199" t="s">
        <v>35</v>
      </c>
      <c r="E1874" s="199">
        <v>50</v>
      </c>
      <c r="F1874" s="199" t="s">
        <v>3846</v>
      </c>
      <c r="G1874" s="199" t="s">
        <v>4755</v>
      </c>
      <c r="H1874" s="200">
        <v>1602</v>
      </c>
      <c r="I1874" s="199" t="s">
        <v>20</v>
      </c>
      <c r="J1874" s="199" t="s">
        <v>415</v>
      </c>
      <c r="K1874" s="201">
        <v>45414</v>
      </c>
      <c r="L1874" s="199" t="s">
        <v>3319</v>
      </c>
      <c r="M1874" s="199" t="s">
        <v>3320</v>
      </c>
    </row>
    <row r="1875" spans="1:13" ht="85.5">
      <c r="A1875" s="199">
        <v>1874</v>
      </c>
      <c r="B1875" s="199" t="s">
        <v>5188</v>
      </c>
      <c r="C1875" s="199" t="s">
        <v>34</v>
      </c>
      <c r="D1875" s="199" t="s">
        <v>35</v>
      </c>
      <c r="E1875" s="199">
        <v>50</v>
      </c>
      <c r="F1875" s="199" t="s">
        <v>3846</v>
      </c>
      <c r="G1875" s="199" t="s">
        <v>4755</v>
      </c>
      <c r="H1875" s="200">
        <v>1568.5</v>
      </c>
      <c r="I1875" s="199" t="s">
        <v>20</v>
      </c>
      <c r="J1875" s="199" t="s">
        <v>415</v>
      </c>
      <c r="K1875" s="201">
        <v>45414</v>
      </c>
      <c r="L1875" s="199" t="s">
        <v>3319</v>
      </c>
      <c r="M1875" s="199" t="s">
        <v>3320</v>
      </c>
    </row>
    <row r="1876" spans="1:13" ht="85.5">
      <c r="A1876" s="199">
        <v>1875</v>
      </c>
      <c r="B1876" s="199" t="s">
        <v>5189</v>
      </c>
      <c r="C1876" s="199" t="s">
        <v>34</v>
      </c>
      <c r="D1876" s="199" t="s">
        <v>35</v>
      </c>
      <c r="E1876" s="199">
        <v>50</v>
      </c>
      <c r="F1876" s="199" t="s">
        <v>3846</v>
      </c>
      <c r="G1876" s="199" t="s">
        <v>4755</v>
      </c>
      <c r="H1876" s="200">
        <v>1597</v>
      </c>
      <c r="I1876" s="199" t="s">
        <v>20</v>
      </c>
      <c r="J1876" s="199" t="s">
        <v>415</v>
      </c>
      <c r="K1876" s="201">
        <v>45414</v>
      </c>
      <c r="L1876" s="199" t="s">
        <v>3319</v>
      </c>
      <c r="M1876" s="199" t="s">
        <v>3320</v>
      </c>
    </row>
    <row r="1877" spans="1:13" ht="85.5">
      <c r="A1877" s="199">
        <v>1876</v>
      </c>
      <c r="B1877" s="199" t="s">
        <v>5190</v>
      </c>
      <c r="C1877" s="199" t="s">
        <v>34</v>
      </c>
      <c r="D1877" s="199" t="s">
        <v>35</v>
      </c>
      <c r="E1877" s="199">
        <v>50</v>
      </c>
      <c r="F1877" s="199" t="s">
        <v>3846</v>
      </c>
      <c r="G1877" s="199" t="s">
        <v>4755</v>
      </c>
      <c r="H1877" s="200">
        <v>1602</v>
      </c>
      <c r="I1877" s="199" t="s">
        <v>20</v>
      </c>
      <c r="J1877" s="199" t="s">
        <v>415</v>
      </c>
      <c r="K1877" s="201">
        <v>45414</v>
      </c>
      <c r="L1877" s="199" t="s">
        <v>3319</v>
      </c>
      <c r="M1877" s="199" t="s">
        <v>3320</v>
      </c>
    </row>
    <row r="1878" spans="1:13" ht="85.5">
      <c r="A1878" s="199">
        <v>1877</v>
      </c>
      <c r="B1878" s="199" t="s">
        <v>5191</v>
      </c>
      <c r="C1878" s="199" t="s">
        <v>34</v>
      </c>
      <c r="D1878" s="199" t="s">
        <v>35</v>
      </c>
      <c r="E1878" s="199">
        <v>50</v>
      </c>
      <c r="F1878" s="199" t="s">
        <v>3846</v>
      </c>
      <c r="G1878" s="199" t="s">
        <v>4755</v>
      </c>
      <c r="H1878" s="200">
        <v>1597</v>
      </c>
      <c r="I1878" s="199" t="s">
        <v>20</v>
      </c>
      <c r="J1878" s="199" t="s">
        <v>415</v>
      </c>
      <c r="K1878" s="201">
        <v>45414</v>
      </c>
      <c r="L1878" s="199" t="s">
        <v>3319</v>
      </c>
      <c r="M1878" s="199" t="s">
        <v>3320</v>
      </c>
    </row>
    <row r="1879" spans="1:13" ht="85.5">
      <c r="A1879" s="199">
        <v>1878</v>
      </c>
      <c r="B1879" s="199" t="s">
        <v>5192</v>
      </c>
      <c r="C1879" s="199" t="s">
        <v>34</v>
      </c>
      <c r="D1879" s="199" t="s">
        <v>35</v>
      </c>
      <c r="E1879" s="199">
        <v>50</v>
      </c>
      <c r="F1879" s="199" t="s">
        <v>3846</v>
      </c>
      <c r="G1879" s="199" t="s">
        <v>4755</v>
      </c>
      <c r="H1879" s="200">
        <v>1602</v>
      </c>
      <c r="I1879" s="199" t="s">
        <v>20</v>
      </c>
      <c r="J1879" s="199" t="s">
        <v>415</v>
      </c>
      <c r="K1879" s="201">
        <v>45414</v>
      </c>
      <c r="L1879" s="199" t="s">
        <v>3319</v>
      </c>
      <c r="M1879" s="199" t="s">
        <v>3320</v>
      </c>
    </row>
    <row r="1880" spans="1:13" ht="85.5">
      <c r="A1880" s="199">
        <v>1879</v>
      </c>
      <c r="B1880" s="199" t="s">
        <v>5193</v>
      </c>
      <c r="C1880" s="199" t="s">
        <v>34</v>
      </c>
      <c r="D1880" s="199" t="s">
        <v>35</v>
      </c>
      <c r="E1880" s="199">
        <v>100</v>
      </c>
      <c r="F1880" s="199" t="s">
        <v>3846</v>
      </c>
      <c r="G1880" s="199" t="s">
        <v>4755</v>
      </c>
      <c r="H1880" s="200">
        <v>3137</v>
      </c>
      <c r="I1880" s="199" t="s">
        <v>20</v>
      </c>
      <c r="J1880" s="199" t="s">
        <v>415</v>
      </c>
      <c r="K1880" s="201">
        <v>45414</v>
      </c>
      <c r="L1880" s="199" t="s">
        <v>3319</v>
      </c>
      <c r="M1880" s="199" t="s">
        <v>3320</v>
      </c>
    </row>
    <row r="1881" spans="1:13" ht="85.5">
      <c r="A1881" s="199">
        <v>1880</v>
      </c>
      <c r="B1881" s="199" t="s">
        <v>5194</v>
      </c>
      <c r="C1881" s="199" t="s">
        <v>34</v>
      </c>
      <c r="D1881" s="199" t="s">
        <v>35</v>
      </c>
      <c r="E1881" s="199">
        <v>100</v>
      </c>
      <c r="F1881" s="199" t="s">
        <v>794</v>
      </c>
      <c r="G1881" s="199" t="s">
        <v>4755</v>
      </c>
      <c r="H1881" s="200">
        <v>3194</v>
      </c>
      <c r="I1881" s="199" t="s">
        <v>20</v>
      </c>
      <c r="J1881" s="199" t="s">
        <v>415</v>
      </c>
      <c r="K1881" s="201">
        <v>45414</v>
      </c>
      <c r="L1881" s="199" t="s">
        <v>3319</v>
      </c>
      <c r="M1881" s="199" t="s">
        <v>3320</v>
      </c>
    </row>
    <row r="1882" spans="1:13" ht="85.5">
      <c r="A1882" s="199">
        <v>1881</v>
      </c>
      <c r="B1882" s="199" t="s">
        <v>5195</v>
      </c>
      <c r="C1882" s="199" t="s">
        <v>34</v>
      </c>
      <c r="D1882" s="199" t="s">
        <v>35</v>
      </c>
      <c r="E1882" s="199">
        <v>100</v>
      </c>
      <c r="F1882" s="199" t="s">
        <v>3846</v>
      </c>
      <c r="G1882" s="199" t="s">
        <v>4755</v>
      </c>
      <c r="H1882" s="200">
        <v>3204</v>
      </c>
      <c r="I1882" s="199" t="s">
        <v>20</v>
      </c>
      <c r="J1882" s="199" t="s">
        <v>415</v>
      </c>
      <c r="K1882" s="201">
        <v>45414</v>
      </c>
      <c r="L1882" s="199" t="s">
        <v>3319</v>
      </c>
      <c r="M1882" s="199" t="s">
        <v>3320</v>
      </c>
    </row>
    <row r="1883" spans="1:13" ht="85.5">
      <c r="A1883" s="199">
        <v>1882</v>
      </c>
      <c r="B1883" s="199" t="s">
        <v>5196</v>
      </c>
      <c r="C1883" s="199" t="s">
        <v>34</v>
      </c>
      <c r="D1883" s="199" t="s">
        <v>35</v>
      </c>
      <c r="E1883" s="199">
        <v>50</v>
      </c>
      <c r="F1883" s="199" t="s">
        <v>3846</v>
      </c>
      <c r="G1883" s="199" t="s">
        <v>4755</v>
      </c>
      <c r="H1883" s="200">
        <v>1568.5</v>
      </c>
      <c r="I1883" s="199" t="s">
        <v>20</v>
      </c>
      <c r="J1883" s="199" t="s">
        <v>415</v>
      </c>
      <c r="K1883" s="201">
        <v>45414</v>
      </c>
      <c r="L1883" s="199" t="s">
        <v>3319</v>
      </c>
      <c r="M1883" s="199" t="s">
        <v>3320</v>
      </c>
    </row>
    <row r="1884" spans="1:13" ht="85.5">
      <c r="A1884" s="199">
        <v>1883</v>
      </c>
      <c r="B1884" s="199" t="s">
        <v>5197</v>
      </c>
      <c r="C1884" s="199" t="s">
        <v>34</v>
      </c>
      <c r="D1884" s="199" t="s">
        <v>35</v>
      </c>
      <c r="E1884" s="199">
        <v>50</v>
      </c>
      <c r="F1884" s="199" t="s">
        <v>3846</v>
      </c>
      <c r="G1884" s="199" t="s">
        <v>4755</v>
      </c>
      <c r="H1884" s="200">
        <v>1597</v>
      </c>
      <c r="I1884" s="199" t="s">
        <v>20</v>
      </c>
      <c r="J1884" s="199" t="s">
        <v>415</v>
      </c>
      <c r="K1884" s="201">
        <v>45414</v>
      </c>
      <c r="L1884" s="199" t="s">
        <v>3319</v>
      </c>
      <c r="M1884" s="199" t="s">
        <v>3320</v>
      </c>
    </row>
    <row r="1885" spans="1:13" ht="85.5">
      <c r="A1885" s="199">
        <v>1884</v>
      </c>
      <c r="B1885" s="199" t="s">
        <v>5198</v>
      </c>
      <c r="C1885" s="199" t="s">
        <v>34</v>
      </c>
      <c r="D1885" s="199" t="s">
        <v>35</v>
      </c>
      <c r="E1885" s="199">
        <v>50</v>
      </c>
      <c r="F1885" s="199" t="s">
        <v>3846</v>
      </c>
      <c r="G1885" s="199" t="s">
        <v>4755</v>
      </c>
      <c r="H1885" s="200">
        <v>1602</v>
      </c>
      <c r="I1885" s="199" t="s">
        <v>20</v>
      </c>
      <c r="J1885" s="199" t="s">
        <v>415</v>
      </c>
      <c r="K1885" s="201">
        <v>45414</v>
      </c>
      <c r="L1885" s="199" t="s">
        <v>3319</v>
      </c>
      <c r="M1885" s="199" t="s">
        <v>3320</v>
      </c>
    </row>
    <row r="1886" spans="1:13" ht="85.5">
      <c r="A1886" s="199">
        <v>1885</v>
      </c>
      <c r="B1886" s="199" t="s">
        <v>5199</v>
      </c>
      <c r="C1886" s="199" t="s">
        <v>34</v>
      </c>
      <c r="D1886" s="199" t="s">
        <v>35</v>
      </c>
      <c r="E1886" s="199">
        <v>50</v>
      </c>
      <c r="F1886" s="199" t="s">
        <v>3846</v>
      </c>
      <c r="G1886" s="199" t="s">
        <v>4755</v>
      </c>
      <c r="H1886" s="200">
        <v>1597</v>
      </c>
      <c r="I1886" s="199" t="s">
        <v>20</v>
      </c>
      <c r="J1886" s="199" t="s">
        <v>415</v>
      </c>
      <c r="K1886" s="201">
        <v>45414</v>
      </c>
      <c r="L1886" s="199" t="s">
        <v>3319</v>
      </c>
      <c r="M1886" s="199" t="s">
        <v>3320</v>
      </c>
    </row>
    <row r="1887" spans="1:13" ht="85.5">
      <c r="A1887" s="199">
        <v>1886</v>
      </c>
      <c r="B1887" s="199" t="s">
        <v>5200</v>
      </c>
      <c r="C1887" s="199" t="s">
        <v>34</v>
      </c>
      <c r="D1887" s="199" t="s">
        <v>35</v>
      </c>
      <c r="E1887" s="199">
        <v>50</v>
      </c>
      <c r="F1887" s="199" t="s">
        <v>3846</v>
      </c>
      <c r="G1887" s="199" t="s">
        <v>4755</v>
      </c>
      <c r="H1887" s="200">
        <v>1602</v>
      </c>
      <c r="I1887" s="199" t="s">
        <v>20</v>
      </c>
      <c r="J1887" s="199" t="s">
        <v>415</v>
      </c>
      <c r="K1887" s="201">
        <v>45414</v>
      </c>
      <c r="L1887" s="199" t="s">
        <v>3319</v>
      </c>
      <c r="M1887" s="199" t="s">
        <v>3320</v>
      </c>
    </row>
    <row r="1888" spans="1:13" ht="85.5">
      <c r="A1888" s="199">
        <v>1887</v>
      </c>
      <c r="B1888" s="199" t="s">
        <v>5201</v>
      </c>
      <c r="C1888" s="199" t="s">
        <v>34</v>
      </c>
      <c r="D1888" s="199" t="s">
        <v>35</v>
      </c>
      <c r="E1888" s="199">
        <v>50</v>
      </c>
      <c r="F1888" s="199" t="s">
        <v>3846</v>
      </c>
      <c r="G1888" s="199" t="s">
        <v>4755</v>
      </c>
      <c r="H1888" s="200">
        <v>1568.5</v>
      </c>
      <c r="I1888" s="199" t="s">
        <v>20</v>
      </c>
      <c r="J1888" s="199" t="s">
        <v>415</v>
      </c>
      <c r="K1888" s="201">
        <v>45414</v>
      </c>
      <c r="L1888" s="199" t="s">
        <v>3319</v>
      </c>
      <c r="M1888" s="199" t="s">
        <v>3320</v>
      </c>
    </row>
    <row r="1889" spans="1:13" ht="85.5">
      <c r="A1889" s="199">
        <v>1888</v>
      </c>
      <c r="B1889" s="199" t="s">
        <v>5202</v>
      </c>
      <c r="C1889" s="199" t="s">
        <v>34</v>
      </c>
      <c r="D1889" s="199" t="s">
        <v>35</v>
      </c>
      <c r="E1889" s="199">
        <v>50</v>
      </c>
      <c r="F1889" s="199" t="s">
        <v>3846</v>
      </c>
      <c r="G1889" s="199" t="s">
        <v>4755</v>
      </c>
      <c r="H1889" s="200">
        <v>1597</v>
      </c>
      <c r="I1889" s="199" t="s">
        <v>20</v>
      </c>
      <c r="J1889" s="199" t="s">
        <v>415</v>
      </c>
      <c r="K1889" s="201">
        <v>45414</v>
      </c>
      <c r="L1889" s="199" t="s">
        <v>3319</v>
      </c>
      <c r="M1889" s="199" t="s">
        <v>3320</v>
      </c>
    </row>
    <row r="1890" spans="1:13" ht="85.5">
      <c r="A1890" s="199">
        <v>1889</v>
      </c>
      <c r="B1890" s="199" t="s">
        <v>5203</v>
      </c>
      <c r="C1890" s="199" t="s">
        <v>34</v>
      </c>
      <c r="D1890" s="199" t="s">
        <v>35</v>
      </c>
      <c r="E1890" s="199">
        <v>50</v>
      </c>
      <c r="F1890" s="199" t="s">
        <v>3846</v>
      </c>
      <c r="G1890" s="199" t="s">
        <v>4755</v>
      </c>
      <c r="H1890" s="200">
        <v>1602</v>
      </c>
      <c r="I1890" s="199" t="s">
        <v>20</v>
      </c>
      <c r="J1890" s="199" t="s">
        <v>415</v>
      </c>
      <c r="K1890" s="201">
        <v>45414</v>
      </c>
      <c r="L1890" s="199" t="s">
        <v>3319</v>
      </c>
      <c r="M1890" s="199" t="s">
        <v>3320</v>
      </c>
    </row>
    <row r="1891" spans="1:13" ht="85.5">
      <c r="A1891" s="199">
        <v>1890</v>
      </c>
      <c r="B1891" s="199" t="s">
        <v>5204</v>
      </c>
      <c r="C1891" s="199" t="s">
        <v>34</v>
      </c>
      <c r="D1891" s="199" t="s">
        <v>35</v>
      </c>
      <c r="E1891" s="199">
        <v>100</v>
      </c>
      <c r="F1891" s="199" t="s">
        <v>3846</v>
      </c>
      <c r="G1891" s="199" t="s">
        <v>4755</v>
      </c>
      <c r="H1891" s="200">
        <v>3137</v>
      </c>
      <c r="I1891" s="199" t="s">
        <v>20</v>
      </c>
      <c r="J1891" s="199" t="s">
        <v>415</v>
      </c>
      <c r="K1891" s="201">
        <v>45414</v>
      </c>
      <c r="L1891" s="199" t="s">
        <v>3319</v>
      </c>
      <c r="M1891" s="199" t="s">
        <v>3320</v>
      </c>
    </row>
    <row r="1892" spans="1:13" ht="85.5">
      <c r="A1892" s="199">
        <v>1891</v>
      </c>
      <c r="B1892" s="199" t="s">
        <v>5205</v>
      </c>
      <c r="C1892" s="199" t="s">
        <v>34</v>
      </c>
      <c r="D1892" s="199" t="s">
        <v>35</v>
      </c>
      <c r="E1892" s="199">
        <v>100</v>
      </c>
      <c r="F1892" s="199" t="s">
        <v>3846</v>
      </c>
      <c r="G1892" s="199" t="s">
        <v>4755</v>
      </c>
      <c r="H1892" s="200">
        <v>3194</v>
      </c>
      <c r="I1892" s="199" t="s">
        <v>20</v>
      </c>
      <c r="J1892" s="199" t="s">
        <v>415</v>
      </c>
      <c r="K1892" s="201">
        <v>45414</v>
      </c>
      <c r="L1892" s="199" t="s">
        <v>3319</v>
      </c>
      <c r="M1892" s="199" t="s">
        <v>3320</v>
      </c>
    </row>
    <row r="1893" spans="1:13" ht="85.5">
      <c r="A1893" s="199">
        <v>1892</v>
      </c>
      <c r="B1893" s="199" t="s">
        <v>5206</v>
      </c>
      <c r="C1893" s="199" t="s">
        <v>34</v>
      </c>
      <c r="D1893" s="199" t="s">
        <v>35</v>
      </c>
      <c r="E1893" s="199">
        <v>100</v>
      </c>
      <c r="F1893" s="199" t="s">
        <v>3846</v>
      </c>
      <c r="G1893" s="199" t="s">
        <v>4755</v>
      </c>
      <c r="H1893" s="200">
        <v>3204</v>
      </c>
      <c r="I1893" s="199" t="s">
        <v>20</v>
      </c>
      <c r="J1893" s="199" t="s">
        <v>415</v>
      </c>
      <c r="K1893" s="201">
        <v>45414</v>
      </c>
      <c r="L1893" s="199" t="s">
        <v>3319</v>
      </c>
      <c r="M1893" s="199" t="s">
        <v>3320</v>
      </c>
    </row>
    <row r="1894" spans="1:13" ht="85.5">
      <c r="A1894" s="199">
        <v>1893</v>
      </c>
      <c r="B1894" s="199" t="s">
        <v>5207</v>
      </c>
      <c r="C1894" s="199" t="s">
        <v>34</v>
      </c>
      <c r="D1894" s="199" t="s">
        <v>35</v>
      </c>
      <c r="E1894" s="199">
        <v>100</v>
      </c>
      <c r="F1894" s="199" t="s">
        <v>3846</v>
      </c>
      <c r="G1894" s="199" t="s">
        <v>4755</v>
      </c>
      <c r="H1894" s="200">
        <v>3137</v>
      </c>
      <c r="I1894" s="199" t="s">
        <v>20</v>
      </c>
      <c r="J1894" s="199" t="s">
        <v>415</v>
      </c>
      <c r="K1894" s="201">
        <v>45414</v>
      </c>
      <c r="L1894" s="199" t="s">
        <v>3319</v>
      </c>
      <c r="M1894" s="199" t="s">
        <v>3320</v>
      </c>
    </row>
    <row r="1895" spans="1:13" ht="85.5">
      <c r="A1895" s="199">
        <v>1894</v>
      </c>
      <c r="B1895" s="199" t="s">
        <v>5208</v>
      </c>
      <c r="C1895" s="199" t="s">
        <v>34</v>
      </c>
      <c r="D1895" s="199" t="s">
        <v>35</v>
      </c>
      <c r="E1895" s="199">
        <v>50</v>
      </c>
      <c r="F1895" s="199" t="s">
        <v>3846</v>
      </c>
      <c r="G1895" s="199" t="s">
        <v>4755</v>
      </c>
      <c r="H1895" s="200">
        <v>1597</v>
      </c>
      <c r="I1895" s="199" t="s">
        <v>20</v>
      </c>
      <c r="J1895" s="199" t="s">
        <v>415</v>
      </c>
      <c r="K1895" s="201">
        <v>45414</v>
      </c>
      <c r="L1895" s="199" t="s">
        <v>3319</v>
      </c>
      <c r="M1895" s="199" t="s">
        <v>3320</v>
      </c>
    </row>
    <row r="1896" spans="1:13" ht="85.5">
      <c r="A1896" s="199">
        <v>1895</v>
      </c>
      <c r="B1896" s="199" t="s">
        <v>5209</v>
      </c>
      <c r="C1896" s="199" t="s">
        <v>34</v>
      </c>
      <c r="D1896" s="199" t="s">
        <v>35</v>
      </c>
      <c r="E1896" s="199">
        <v>50</v>
      </c>
      <c r="F1896" s="199" t="s">
        <v>3846</v>
      </c>
      <c r="G1896" s="199" t="s">
        <v>4755</v>
      </c>
      <c r="H1896" s="200">
        <v>1602</v>
      </c>
      <c r="I1896" s="199" t="s">
        <v>20</v>
      </c>
      <c r="J1896" s="199" t="s">
        <v>415</v>
      </c>
      <c r="K1896" s="201">
        <v>45414</v>
      </c>
      <c r="L1896" s="199" t="s">
        <v>3319</v>
      </c>
      <c r="M1896" s="199" t="s">
        <v>3320</v>
      </c>
    </row>
    <row r="1897" spans="1:13" ht="85.5">
      <c r="A1897" s="199">
        <v>1896</v>
      </c>
      <c r="B1897" s="199" t="s">
        <v>5210</v>
      </c>
      <c r="C1897" s="199" t="s">
        <v>34</v>
      </c>
      <c r="D1897" s="199" t="s">
        <v>35</v>
      </c>
      <c r="E1897" s="199">
        <v>50</v>
      </c>
      <c r="F1897" s="199" t="s">
        <v>3846</v>
      </c>
      <c r="G1897" s="199" t="s">
        <v>4755</v>
      </c>
      <c r="H1897" s="200">
        <v>1568.5</v>
      </c>
      <c r="I1897" s="199" t="s">
        <v>20</v>
      </c>
      <c r="J1897" s="199" t="s">
        <v>415</v>
      </c>
      <c r="K1897" s="201">
        <v>45414</v>
      </c>
      <c r="L1897" s="199" t="s">
        <v>3319</v>
      </c>
      <c r="M1897" s="199" t="s">
        <v>3320</v>
      </c>
    </row>
    <row r="1898" spans="1:13" ht="85.5">
      <c r="A1898" s="199">
        <v>1897</v>
      </c>
      <c r="B1898" s="199" t="s">
        <v>5211</v>
      </c>
      <c r="C1898" s="199" t="s">
        <v>34</v>
      </c>
      <c r="D1898" s="199" t="s">
        <v>35</v>
      </c>
      <c r="E1898" s="199">
        <v>50</v>
      </c>
      <c r="F1898" s="199" t="s">
        <v>3846</v>
      </c>
      <c r="G1898" s="199" t="s">
        <v>4755</v>
      </c>
      <c r="H1898" s="200">
        <v>1597</v>
      </c>
      <c r="I1898" s="199" t="s">
        <v>20</v>
      </c>
      <c r="J1898" s="199" t="s">
        <v>415</v>
      </c>
      <c r="K1898" s="201">
        <v>45414</v>
      </c>
      <c r="L1898" s="199" t="s">
        <v>3319</v>
      </c>
      <c r="M1898" s="199" t="s">
        <v>3320</v>
      </c>
    </row>
    <row r="1899" spans="1:13" ht="85.5">
      <c r="A1899" s="199">
        <v>1898</v>
      </c>
      <c r="B1899" s="199" t="s">
        <v>5212</v>
      </c>
      <c r="C1899" s="199" t="s">
        <v>34</v>
      </c>
      <c r="D1899" s="199" t="s">
        <v>35</v>
      </c>
      <c r="E1899" s="199">
        <v>100</v>
      </c>
      <c r="F1899" s="199" t="s">
        <v>3846</v>
      </c>
      <c r="G1899" s="199" t="s">
        <v>4755</v>
      </c>
      <c r="H1899" s="200">
        <v>3204</v>
      </c>
      <c r="I1899" s="199" t="s">
        <v>20</v>
      </c>
      <c r="J1899" s="199" t="s">
        <v>415</v>
      </c>
      <c r="K1899" s="201">
        <v>45414</v>
      </c>
      <c r="L1899" s="199" t="s">
        <v>3319</v>
      </c>
      <c r="M1899" s="199" t="s">
        <v>3320</v>
      </c>
    </row>
    <row r="1900" spans="1:13" ht="85.5">
      <c r="A1900" s="199">
        <v>1899</v>
      </c>
      <c r="B1900" s="199" t="s">
        <v>5213</v>
      </c>
      <c r="C1900" s="199" t="s">
        <v>34</v>
      </c>
      <c r="D1900" s="199" t="s">
        <v>35</v>
      </c>
      <c r="E1900" s="199">
        <v>100</v>
      </c>
      <c r="F1900" s="199" t="s">
        <v>794</v>
      </c>
      <c r="G1900" s="199" t="s">
        <v>4755</v>
      </c>
      <c r="H1900" s="200">
        <v>3137</v>
      </c>
      <c r="I1900" s="199" t="s">
        <v>20</v>
      </c>
      <c r="J1900" s="199" t="s">
        <v>415</v>
      </c>
      <c r="K1900" s="201">
        <v>45414</v>
      </c>
      <c r="L1900" s="199" t="s">
        <v>3319</v>
      </c>
      <c r="M1900" s="199" t="s">
        <v>3320</v>
      </c>
    </row>
    <row r="1901" spans="1:13" ht="85.5">
      <c r="A1901" s="199">
        <v>1900</v>
      </c>
      <c r="B1901" s="199" t="s">
        <v>5214</v>
      </c>
      <c r="C1901" s="199" t="s">
        <v>34</v>
      </c>
      <c r="D1901" s="199" t="s">
        <v>35</v>
      </c>
      <c r="E1901" s="199">
        <v>80</v>
      </c>
      <c r="F1901" s="199" t="s">
        <v>3846</v>
      </c>
      <c r="G1901" s="199" t="s">
        <v>4755</v>
      </c>
      <c r="H1901" s="200">
        <v>2555.1999999999998</v>
      </c>
      <c r="I1901" s="199" t="s">
        <v>20</v>
      </c>
      <c r="J1901" s="199" t="s">
        <v>415</v>
      </c>
      <c r="K1901" s="201">
        <v>45414</v>
      </c>
      <c r="L1901" s="199" t="s">
        <v>3319</v>
      </c>
      <c r="M1901" s="199" t="s">
        <v>3320</v>
      </c>
    </row>
    <row r="1902" spans="1:13" ht="85.5">
      <c r="A1902" s="199">
        <v>1901</v>
      </c>
      <c r="B1902" s="199" t="s">
        <v>5215</v>
      </c>
      <c r="C1902" s="199" t="s">
        <v>34</v>
      </c>
      <c r="D1902" s="199" t="s">
        <v>35</v>
      </c>
      <c r="E1902" s="199">
        <v>80</v>
      </c>
      <c r="F1902" s="199" t="s">
        <v>3846</v>
      </c>
      <c r="G1902" s="199" t="s">
        <v>4755</v>
      </c>
      <c r="H1902" s="200">
        <v>2563.1999999999998</v>
      </c>
      <c r="I1902" s="199" t="s">
        <v>20</v>
      </c>
      <c r="J1902" s="199" t="s">
        <v>415</v>
      </c>
      <c r="K1902" s="201">
        <v>45414</v>
      </c>
      <c r="L1902" s="199" t="s">
        <v>3319</v>
      </c>
      <c r="M1902" s="199" t="s">
        <v>3320</v>
      </c>
    </row>
    <row r="1903" spans="1:13" ht="85.5">
      <c r="A1903" s="199">
        <v>1902</v>
      </c>
      <c r="B1903" s="199" t="s">
        <v>5216</v>
      </c>
      <c r="C1903" s="199" t="s">
        <v>34</v>
      </c>
      <c r="D1903" s="199" t="s">
        <v>35</v>
      </c>
      <c r="E1903" s="199">
        <v>80</v>
      </c>
      <c r="F1903" s="199" t="s">
        <v>3846</v>
      </c>
      <c r="G1903" s="199" t="s">
        <v>4755</v>
      </c>
      <c r="H1903" s="200">
        <v>2509.6</v>
      </c>
      <c r="I1903" s="199" t="s">
        <v>20</v>
      </c>
      <c r="J1903" s="199" t="s">
        <v>415</v>
      </c>
      <c r="K1903" s="201">
        <v>45414</v>
      </c>
      <c r="L1903" s="199" t="s">
        <v>3319</v>
      </c>
      <c r="M1903" s="199" t="s">
        <v>3320</v>
      </c>
    </row>
    <row r="1904" spans="1:13" ht="85.5">
      <c r="A1904" s="199">
        <v>1903</v>
      </c>
      <c r="B1904" s="199" t="s">
        <v>5217</v>
      </c>
      <c r="C1904" s="199" t="s">
        <v>34</v>
      </c>
      <c r="D1904" s="199" t="s">
        <v>35</v>
      </c>
      <c r="E1904" s="199">
        <v>80</v>
      </c>
      <c r="F1904" s="199" t="s">
        <v>3846</v>
      </c>
      <c r="G1904" s="199" t="s">
        <v>4755</v>
      </c>
      <c r="H1904" s="200">
        <v>2555.1999999999998</v>
      </c>
      <c r="I1904" s="199" t="s">
        <v>20</v>
      </c>
      <c r="J1904" s="199" t="s">
        <v>415</v>
      </c>
      <c r="K1904" s="201">
        <v>45414</v>
      </c>
      <c r="L1904" s="199" t="s">
        <v>3319</v>
      </c>
      <c r="M1904" s="199" t="s">
        <v>3320</v>
      </c>
    </row>
    <row r="1905" spans="1:13" ht="85.5">
      <c r="A1905" s="199">
        <v>1904</v>
      </c>
      <c r="B1905" s="199" t="s">
        <v>5218</v>
      </c>
      <c r="C1905" s="199" t="s">
        <v>34</v>
      </c>
      <c r="D1905" s="199" t="s">
        <v>35</v>
      </c>
      <c r="E1905" s="199">
        <v>10</v>
      </c>
      <c r="F1905" s="199" t="s">
        <v>3846</v>
      </c>
      <c r="G1905" s="199" t="s">
        <v>4755</v>
      </c>
      <c r="H1905" s="200">
        <v>320.39999999999998</v>
      </c>
      <c r="I1905" s="199" t="s">
        <v>20</v>
      </c>
      <c r="J1905" s="199" t="s">
        <v>415</v>
      </c>
      <c r="K1905" s="201">
        <v>45414</v>
      </c>
      <c r="L1905" s="199" t="s">
        <v>3319</v>
      </c>
      <c r="M1905" s="199" t="s">
        <v>3320</v>
      </c>
    </row>
    <row r="1906" spans="1:13" ht="85.5">
      <c r="A1906" s="199">
        <v>1905</v>
      </c>
      <c r="B1906" s="199" t="s">
        <v>5219</v>
      </c>
      <c r="C1906" s="199" t="s">
        <v>34</v>
      </c>
      <c r="D1906" s="199" t="s">
        <v>35</v>
      </c>
      <c r="E1906" s="199">
        <v>10</v>
      </c>
      <c r="F1906" s="199" t="s">
        <v>3846</v>
      </c>
      <c r="G1906" s="199" t="s">
        <v>4755</v>
      </c>
      <c r="H1906" s="200">
        <v>313.7</v>
      </c>
      <c r="I1906" s="199" t="s">
        <v>20</v>
      </c>
      <c r="J1906" s="199" t="s">
        <v>415</v>
      </c>
      <c r="K1906" s="201">
        <v>45414</v>
      </c>
      <c r="L1906" s="199" t="s">
        <v>3319</v>
      </c>
      <c r="M1906" s="199" t="s">
        <v>3320</v>
      </c>
    </row>
    <row r="1907" spans="1:13" ht="85.5">
      <c r="A1907" s="199">
        <v>1906</v>
      </c>
      <c r="B1907" s="199" t="s">
        <v>5220</v>
      </c>
      <c r="C1907" s="199" t="s">
        <v>34</v>
      </c>
      <c r="D1907" s="199" t="s">
        <v>35</v>
      </c>
      <c r="E1907" s="199">
        <v>101</v>
      </c>
      <c r="F1907" s="199" t="s">
        <v>3846</v>
      </c>
      <c r="G1907" s="199" t="s">
        <v>4755</v>
      </c>
      <c r="H1907" s="200">
        <v>3225.94</v>
      </c>
      <c r="I1907" s="199" t="s">
        <v>20</v>
      </c>
      <c r="J1907" s="199" t="s">
        <v>415</v>
      </c>
      <c r="K1907" s="201">
        <v>45414</v>
      </c>
      <c r="L1907" s="199" t="s">
        <v>3319</v>
      </c>
      <c r="M1907" s="199" t="s">
        <v>3320</v>
      </c>
    </row>
    <row r="1908" spans="1:13" ht="85.5">
      <c r="A1908" s="199">
        <v>1907</v>
      </c>
      <c r="B1908" s="199" t="s">
        <v>5221</v>
      </c>
      <c r="C1908" s="199" t="s">
        <v>34</v>
      </c>
      <c r="D1908" s="199" t="s">
        <v>35</v>
      </c>
      <c r="E1908" s="199">
        <v>10</v>
      </c>
      <c r="F1908" s="199" t="s">
        <v>3846</v>
      </c>
      <c r="G1908" s="199" t="s">
        <v>4755</v>
      </c>
      <c r="H1908" s="200">
        <v>320.39999999999998</v>
      </c>
      <c r="I1908" s="199" t="s">
        <v>20</v>
      </c>
      <c r="J1908" s="199" t="s">
        <v>415</v>
      </c>
      <c r="K1908" s="201">
        <v>45414</v>
      </c>
      <c r="L1908" s="199" t="s">
        <v>3319</v>
      </c>
      <c r="M1908" s="199" t="s">
        <v>3320</v>
      </c>
    </row>
    <row r="1909" spans="1:13" ht="85.5">
      <c r="A1909" s="199">
        <v>1908</v>
      </c>
      <c r="B1909" s="199" t="s">
        <v>5222</v>
      </c>
      <c r="C1909" s="199" t="s">
        <v>34</v>
      </c>
      <c r="D1909" s="199" t="s">
        <v>35</v>
      </c>
      <c r="E1909" s="199">
        <v>80</v>
      </c>
      <c r="F1909" s="199" t="s">
        <v>3846</v>
      </c>
      <c r="G1909" s="199" t="s">
        <v>4755</v>
      </c>
      <c r="H1909" s="200">
        <v>2509.6</v>
      </c>
      <c r="I1909" s="199" t="s">
        <v>20</v>
      </c>
      <c r="J1909" s="199" t="s">
        <v>415</v>
      </c>
      <c r="K1909" s="201">
        <v>45414</v>
      </c>
      <c r="L1909" s="199" t="s">
        <v>3319</v>
      </c>
      <c r="M1909" s="199" t="s">
        <v>3320</v>
      </c>
    </row>
    <row r="1910" spans="1:13" ht="85.5">
      <c r="A1910" s="199">
        <v>1909</v>
      </c>
      <c r="B1910" s="199" t="s">
        <v>5223</v>
      </c>
      <c r="C1910" s="199" t="s">
        <v>34</v>
      </c>
      <c r="D1910" s="199" t="s">
        <v>35</v>
      </c>
      <c r="E1910" s="199">
        <v>50</v>
      </c>
      <c r="F1910" s="199" t="s">
        <v>3846</v>
      </c>
      <c r="G1910" s="199" t="s">
        <v>4755</v>
      </c>
      <c r="H1910" s="200">
        <v>1597</v>
      </c>
      <c r="I1910" s="199" t="s">
        <v>20</v>
      </c>
      <c r="J1910" s="199" t="s">
        <v>415</v>
      </c>
      <c r="K1910" s="201">
        <v>45414</v>
      </c>
      <c r="L1910" s="199" t="s">
        <v>3319</v>
      </c>
      <c r="M1910" s="199" t="s">
        <v>3320</v>
      </c>
    </row>
    <row r="1911" spans="1:13" ht="85.5">
      <c r="A1911" s="199">
        <v>1910</v>
      </c>
      <c r="B1911" s="199" t="s">
        <v>5224</v>
      </c>
      <c r="C1911" s="199" t="s">
        <v>34</v>
      </c>
      <c r="D1911" s="199" t="s">
        <v>35</v>
      </c>
      <c r="E1911" s="199">
        <v>2</v>
      </c>
      <c r="F1911" s="199" t="s">
        <v>8</v>
      </c>
      <c r="G1911" s="199" t="s">
        <v>4755</v>
      </c>
      <c r="H1911" s="200">
        <v>189.84</v>
      </c>
      <c r="I1911" s="199" t="s">
        <v>20</v>
      </c>
      <c r="J1911" s="199" t="s">
        <v>415</v>
      </c>
      <c r="K1911" s="201">
        <v>45414</v>
      </c>
      <c r="L1911" s="199" t="s">
        <v>3319</v>
      </c>
      <c r="M1911" s="199" t="s">
        <v>3320</v>
      </c>
    </row>
    <row r="1912" spans="1:13" ht="85.5">
      <c r="A1912" s="199">
        <v>1911</v>
      </c>
      <c r="B1912" s="199" t="s">
        <v>5225</v>
      </c>
      <c r="C1912" s="199" t="s">
        <v>34</v>
      </c>
      <c r="D1912" s="199" t="s">
        <v>35</v>
      </c>
      <c r="E1912" s="199">
        <v>10</v>
      </c>
      <c r="F1912" s="199" t="s">
        <v>8</v>
      </c>
      <c r="G1912" s="199" t="s">
        <v>4755</v>
      </c>
      <c r="H1912" s="200">
        <v>743.7</v>
      </c>
      <c r="I1912" s="199" t="s">
        <v>20</v>
      </c>
      <c r="J1912" s="199" t="s">
        <v>415</v>
      </c>
      <c r="K1912" s="201">
        <v>45414</v>
      </c>
      <c r="L1912" s="199" t="s">
        <v>3319</v>
      </c>
      <c r="M1912" s="199" t="s">
        <v>3320</v>
      </c>
    </row>
    <row r="1913" spans="1:13" ht="85.5">
      <c r="A1913" s="199">
        <v>1912</v>
      </c>
      <c r="B1913" s="199" t="s">
        <v>5226</v>
      </c>
      <c r="C1913" s="199" t="s">
        <v>34</v>
      </c>
      <c r="D1913" s="199" t="s">
        <v>35</v>
      </c>
      <c r="E1913" s="199">
        <v>10</v>
      </c>
      <c r="F1913" s="199" t="s">
        <v>8</v>
      </c>
      <c r="G1913" s="199" t="s">
        <v>4755</v>
      </c>
      <c r="H1913" s="200">
        <v>615.20000000000005</v>
      </c>
      <c r="I1913" s="199" t="s">
        <v>20</v>
      </c>
      <c r="J1913" s="199" t="s">
        <v>415</v>
      </c>
      <c r="K1913" s="201">
        <v>45414</v>
      </c>
      <c r="L1913" s="199" t="s">
        <v>3319</v>
      </c>
      <c r="M1913" s="199" t="s">
        <v>3320</v>
      </c>
    </row>
    <row r="1914" spans="1:13" ht="85.5">
      <c r="A1914" s="199">
        <v>1913</v>
      </c>
      <c r="B1914" s="199" t="s">
        <v>5227</v>
      </c>
      <c r="C1914" s="199" t="s">
        <v>34</v>
      </c>
      <c r="D1914" s="199" t="s">
        <v>35</v>
      </c>
      <c r="E1914" s="199">
        <v>10</v>
      </c>
      <c r="F1914" s="199" t="s">
        <v>8</v>
      </c>
      <c r="G1914" s="199" t="s">
        <v>4755</v>
      </c>
      <c r="H1914" s="200">
        <v>901.7</v>
      </c>
      <c r="I1914" s="199" t="s">
        <v>20</v>
      </c>
      <c r="J1914" s="199" t="s">
        <v>415</v>
      </c>
      <c r="K1914" s="201">
        <v>45414</v>
      </c>
      <c r="L1914" s="199" t="s">
        <v>3319</v>
      </c>
      <c r="M1914" s="199" t="s">
        <v>3320</v>
      </c>
    </row>
    <row r="1915" spans="1:13" ht="85.5">
      <c r="A1915" s="199">
        <v>1914</v>
      </c>
      <c r="B1915" s="199" t="s">
        <v>5228</v>
      </c>
      <c r="C1915" s="199" t="s">
        <v>34</v>
      </c>
      <c r="D1915" s="199" t="s">
        <v>35</v>
      </c>
      <c r="E1915" s="199">
        <v>10</v>
      </c>
      <c r="F1915" s="199" t="s">
        <v>8</v>
      </c>
      <c r="G1915" s="199" t="s">
        <v>4755</v>
      </c>
      <c r="H1915" s="200">
        <v>180.4</v>
      </c>
      <c r="I1915" s="199" t="s">
        <v>20</v>
      </c>
      <c r="J1915" s="199" t="s">
        <v>415</v>
      </c>
      <c r="K1915" s="201">
        <v>45414</v>
      </c>
      <c r="L1915" s="199" t="s">
        <v>3319</v>
      </c>
      <c r="M1915" s="199" t="s">
        <v>3320</v>
      </c>
    </row>
    <row r="1916" spans="1:13" ht="85.5">
      <c r="A1916" s="199">
        <v>1915</v>
      </c>
      <c r="B1916" s="199" t="s">
        <v>5229</v>
      </c>
      <c r="C1916" s="199" t="s">
        <v>34</v>
      </c>
      <c r="D1916" s="199" t="s">
        <v>35</v>
      </c>
      <c r="E1916" s="199">
        <v>5</v>
      </c>
      <c r="F1916" s="199" t="s">
        <v>8</v>
      </c>
      <c r="G1916" s="199" t="s">
        <v>4755</v>
      </c>
      <c r="H1916" s="200">
        <v>82.8</v>
      </c>
      <c r="I1916" s="199" t="s">
        <v>20</v>
      </c>
      <c r="J1916" s="199" t="s">
        <v>415</v>
      </c>
      <c r="K1916" s="201">
        <v>45414</v>
      </c>
      <c r="L1916" s="199" t="s">
        <v>3319</v>
      </c>
      <c r="M1916" s="199" t="s">
        <v>3320</v>
      </c>
    </row>
    <row r="1917" spans="1:13" ht="85.5">
      <c r="A1917" s="199">
        <v>1916</v>
      </c>
      <c r="B1917" s="199" t="s">
        <v>5230</v>
      </c>
      <c r="C1917" s="199" t="s">
        <v>34</v>
      </c>
      <c r="D1917" s="199" t="s">
        <v>35</v>
      </c>
      <c r="E1917" s="199">
        <v>10</v>
      </c>
      <c r="F1917" s="199" t="s">
        <v>8</v>
      </c>
      <c r="G1917" s="199" t="s">
        <v>4755</v>
      </c>
      <c r="H1917" s="200">
        <v>184.2</v>
      </c>
      <c r="I1917" s="199" t="s">
        <v>20</v>
      </c>
      <c r="J1917" s="199" t="s">
        <v>415</v>
      </c>
      <c r="K1917" s="201">
        <v>45414</v>
      </c>
      <c r="L1917" s="199" t="s">
        <v>3319</v>
      </c>
      <c r="M1917" s="199" t="s">
        <v>3320</v>
      </c>
    </row>
    <row r="1918" spans="1:13" ht="85.5">
      <c r="A1918" s="199">
        <v>1917</v>
      </c>
      <c r="B1918" s="199" t="s">
        <v>5231</v>
      </c>
      <c r="C1918" s="199" t="s">
        <v>34</v>
      </c>
      <c r="D1918" s="199" t="s">
        <v>35</v>
      </c>
      <c r="E1918" s="199">
        <v>80</v>
      </c>
      <c r="F1918" s="199" t="s">
        <v>8</v>
      </c>
      <c r="G1918" s="199" t="s">
        <v>4755</v>
      </c>
      <c r="H1918" s="200">
        <v>557.6</v>
      </c>
      <c r="I1918" s="199" t="s">
        <v>20</v>
      </c>
      <c r="J1918" s="199" t="s">
        <v>415</v>
      </c>
      <c r="K1918" s="201">
        <v>45414</v>
      </c>
      <c r="L1918" s="199" t="s">
        <v>3319</v>
      </c>
      <c r="M1918" s="199" t="s">
        <v>3320</v>
      </c>
    </row>
    <row r="1919" spans="1:13" ht="85.5">
      <c r="A1919" s="199">
        <v>1918</v>
      </c>
      <c r="B1919" s="199" t="s">
        <v>5232</v>
      </c>
      <c r="C1919" s="199" t="s">
        <v>34</v>
      </c>
      <c r="D1919" s="199" t="s">
        <v>35</v>
      </c>
      <c r="E1919" s="199">
        <v>250</v>
      </c>
      <c r="F1919" s="199" t="s">
        <v>8</v>
      </c>
      <c r="G1919" s="199" t="s">
        <v>4755</v>
      </c>
      <c r="H1919" s="200">
        <v>1775</v>
      </c>
      <c r="I1919" s="199" t="s">
        <v>20</v>
      </c>
      <c r="J1919" s="199" t="s">
        <v>415</v>
      </c>
      <c r="K1919" s="201">
        <v>45414</v>
      </c>
      <c r="L1919" s="199" t="s">
        <v>3319</v>
      </c>
      <c r="M1919" s="199" t="s">
        <v>3320</v>
      </c>
    </row>
    <row r="1920" spans="1:13" ht="85.5">
      <c r="A1920" s="199">
        <v>1919</v>
      </c>
      <c r="B1920" s="199" t="s">
        <v>5233</v>
      </c>
      <c r="C1920" s="199" t="s">
        <v>34</v>
      </c>
      <c r="D1920" s="199" t="s">
        <v>35</v>
      </c>
      <c r="E1920" s="199">
        <v>10</v>
      </c>
      <c r="F1920" s="199" t="s">
        <v>749</v>
      </c>
      <c r="G1920" s="199" t="s">
        <v>4755</v>
      </c>
      <c r="H1920" s="200">
        <v>2990</v>
      </c>
      <c r="I1920" s="199" t="s">
        <v>20</v>
      </c>
      <c r="J1920" s="199" t="s">
        <v>415</v>
      </c>
      <c r="K1920" s="201">
        <v>45414</v>
      </c>
      <c r="L1920" s="199" t="s">
        <v>3319</v>
      </c>
      <c r="M1920" s="199" t="s">
        <v>3320</v>
      </c>
    </row>
    <row r="1921" spans="1:13" ht="114">
      <c r="A1921" s="199">
        <v>1920</v>
      </c>
      <c r="B1921" s="199" t="s">
        <v>5234</v>
      </c>
      <c r="C1921" s="199" t="s">
        <v>34</v>
      </c>
      <c r="D1921" s="199" t="s">
        <v>35</v>
      </c>
      <c r="E1921" s="199">
        <v>12</v>
      </c>
      <c r="F1921" s="199" t="s">
        <v>749</v>
      </c>
      <c r="G1921" s="199" t="s">
        <v>4755</v>
      </c>
      <c r="H1921" s="200">
        <v>2509.92</v>
      </c>
      <c r="I1921" s="199" t="s">
        <v>20</v>
      </c>
      <c r="J1921" s="199" t="s">
        <v>415</v>
      </c>
      <c r="K1921" s="201">
        <v>45414</v>
      </c>
      <c r="L1921" s="199" t="s">
        <v>3319</v>
      </c>
      <c r="M1921" s="199" t="s">
        <v>3320</v>
      </c>
    </row>
    <row r="1922" spans="1:13" ht="171">
      <c r="A1922" s="199">
        <v>1921</v>
      </c>
      <c r="B1922" s="199" t="s">
        <v>5235</v>
      </c>
      <c r="C1922" s="199" t="s">
        <v>34</v>
      </c>
      <c r="D1922" s="199" t="s">
        <v>35</v>
      </c>
      <c r="E1922" s="199">
        <v>10</v>
      </c>
      <c r="F1922" s="199" t="s">
        <v>679</v>
      </c>
      <c r="G1922" s="199" t="s">
        <v>4755</v>
      </c>
      <c r="H1922" s="200">
        <v>1325</v>
      </c>
      <c r="I1922" s="199" t="s">
        <v>20</v>
      </c>
      <c r="J1922" s="199" t="s">
        <v>415</v>
      </c>
      <c r="K1922" s="201">
        <v>45414</v>
      </c>
      <c r="L1922" s="199" t="s">
        <v>3319</v>
      </c>
      <c r="M1922" s="199" t="s">
        <v>3320</v>
      </c>
    </row>
    <row r="1923" spans="1:13" ht="171">
      <c r="A1923" s="199">
        <v>1922</v>
      </c>
      <c r="B1923" s="199" t="s">
        <v>5236</v>
      </c>
      <c r="C1923" s="199" t="s">
        <v>34</v>
      </c>
      <c r="D1923" s="199" t="s">
        <v>35</v>
      </c>
      <c r="E1923" s="199">
        <v>30</v>
      </c>
      <c r="F1923" s="199" t="s">
        <v>679</v>
      </c>
      <c r="G1923" s="199" t="s">
        <v>4755</v>
      </c>
      <c r="H1923" s="200">
        <v>3986.7</v>
      </c>
      <c r="I1923" s="199" t="s">
        <v>20</v>
      </c>
      <c r="J1923" s="199" t="s">
        <v>415</v>
      </c>
      <c r="K1923" s="201">
        <v>45414</v>
      </c>
      <c r="L1923" s="199" t="s">
        <v>3319</v>
      </c>
      <c r="M1923" s="199" t="s">
        <v>3320</v>
      </c>
    </row>
    <row r="1924" spans="1:13" ht="242.25">
      <c r="A1924" s="199">
        <v>1923</v>
      </c>
      <c r="B1924" s="199" t="s">
        <v>5237</v>
      </c>
      <c r="C1924" s="199" t="s">
        <v>34</v>
      </c>
      <c r="D1924" s="199" t="s">
        <v>35</v>
      </c>
      <c r="E1924" s="199">
        <v>5</v>
      </c>
      <c r="F1924" s="199" t="s">
        <v>560</v>
      </c>
      <c r="G1924" s="199" t="s">
        <v>4755</v>
      </c>
      <c r="H1924" s="200">
        <v>1626.8</v>
      </c>
      <c r="I1924" s="199" t="s">
        <v>20</v>
      </c>
      <c r="J1924" s="199" t="s">
        <v>415</v>
      </c>
      <c r="K1924" s="201">
        <v>45414</v>
      </c>
      <c r="L1924" s="199" t="s">
        <v>3319</v>
      </c>
      <c r="M1924" s="199" t="s">
        <v>3320</v>
      </c>
    </row>
    <row r="1925" spans="1:13" ht="85.5">
      <c r="A1925" s="199">
        <v>1924</v>
      </c>
      <c r="B1925" s="199" t="s">
        <v>5238</v>
      </c>
      <c r="C1925" s="199" t="s">
        <v>34</v>
      </c>
      <c r="D1925" s="199" t="s">
        <v>35</v>
      </c>
      <c r="E1925" s="199">
        <v>6</v>
      </c>
      <c r="F1925" s="199" t="s">
        <v>2378</v>
      </c>
      <c r="G1925" s="199" t="s">
        <v>4755</v>
      </c>
      <c r="H1925" s="200">
        <v>1589.94</v>
      </c>
      <c r="I1925" s="199" t="s">
        <v>20</v>
      </c>
      <c r="J1925" s="199" t="s">
        <v>415</v>
      </c>
      <c r="K1925" s="201">
        <v>45414</v>
      </c>
      <c r="L1925" s="199" t="s">
        <v>3319</v>
      </c>
      <c r="M1925" s="199" t="s">
        <v>3320</v>
      </c>
    </row>
    <row r="1926" spans="1:13" ht="85.5">
      <c r="A1926" s="199">
        <v>1925</v>
      </c>
      <c r="B1926" s="199" t="s">
        <v>5239</v>
      </c>
      <c r="C1926" s="199" t="s">
        <v>34</v>
      </c>
      <c r="D1926" s="199" t="s">
        <v>35</v>
      </c>
      <c r="E1926" s="199">
        <v>6</v>
      </c>
      <c r="F1926" s="199" t="s">
        <v>560</v>
      </c>
      <c r="G1926" s="199" t="s">
        <v>4755</v>
      </c>
      <c r="H1926" s="200">
        <v>1594.68</v>
      </c>
      <c r="I1926" s="199" t="s">
        <v>20</v>
      </c>
      <c r="J1926" s="199" t="s">
        <v>415</v>
      </c>
      <c r="K1926" s="201">
        <v>45414</v>
      </c>
      <c r="L1926" s="199" t="s">
        <v>3319</v>
      </c>
      <c r="M1926" s="199" t="s">
        <v>3320</v>
      </c>
    </row>
    <row r="1927" spans="1:13" ht="99.75">
      <c r="A1927" s="199">
        <v>1926</v>
      </c>
      <c r="B1927" s="199" t="s">
        <v>5240</v>
      </c>
      <c r="C1927" s="199" t="s">
        <v>34</v>
      </c>
      <c r="D1927" s="199" t="s">
        <v>35</v>
      </c>
      <c r="E1927" s="199">
        <v>20</v>
      </c>
      <c r="F1927" s="199" t="s">
        <v>560</v>
      </c>
      <c r="G1927" s="199" t="s">
        <v>4755</v>
      </c>
      <c r="H1927" s="200">
        <v>6507.2</v>
      </c>
      <c r="I1927" s="199" t="s">
        <v>20</v>
      </c>
      <c r="J1927" s="199" t="s">
        <v>415</v>
      </c>
      <c r="K1927" s="201">
        <v>45414</v>
      </c>
      <c r="L1927" s="199" t="s">
        <v>3319</v>
      </c>
      <c r="M1927" s="199" t="s">
        <v>3320</v>
      </c>
    </row>
    <row r="1928" spans="1:13" ht="199.5">
      <c r="A1928" s="199">
        <v>1927</v>
      </c>
      <c r="B1928" s="199" t="s">
        <v>5241</v>
      </c>
      <c r="C1928" s="199" t="s">
        <v>34</v>
      </c>
      <c r="D1928" s="199" t="s">
        <v>35</v>
      </c>
      <c r="E1928" s="199">
        <v>20</v>
      </c>
      <c r="F1928" s="199" t="s">
        <v>679</v>
      </c>
      <c r="G1928" s="199" t="s">
        <v>4755</v>
      </c>
      <c r="H1928" s="200">
        <v>11865</v>
      </c>
      <c r="I1928" s="199" t="s">
        <v>20</v>
      </c>
      <c r="J1928" s="199" t="s">
        <v>415</v>
      </c>
      <c r="K1928" s="201">
        <v>45414</v>
      </c>
      <c r="L1928" s="199" t="s">
        <v>3319</v>
      </c>
      <c r="M1928" s="199" t="s">
        <v>3320</v>
      </c>
    </row>
    <row r="1929" spans="1:13" ht="142.5">
      <c r="A1929" s="199">
        <v>1928</v>
      </c>
      <c r="B1929" s="199" t="s">
        <v>5242</v>
      </c>
      <c r="C1929" s="199" t="s">
        <v>34</v>
      </c>
      <c r="D1929" s="199" t="s">
        <v>35</v>
      </c>
      <c r="E1929" s="199">
        <v>60</v>
      </c>
      <c r="F1929" s="199" t="s">
        <v>679</v>
      </c>
      <c r="G1929" s="199" t="s">
        <v>4755</v>
      </c>
      <c r="H1929" s="200">
        <v>22310.400000000001</v>
      </c>
      <c r="I1929" s="199" t="s">
        <v>20</v>
      </c>
      <c r="J1929" s="199" t="s">
        <v>415</v>
      </c>
      <c r="K1929" s="201">
        <v>45414</v>
      </c>
      <c r="L1929" s="199" t="s">
        <v>3319</v>
      </c>
      <c r="M1929" s="199" t="s">
        <v>3320</v>
      </c>
    </row>
    <row r="1930" spans="1:13" ht="85.5">
      <c r="A1930" s="199">
        <v>1929</v>
      </c>
      <c r="B1930" s="199" t="s">
        <v>5243</v>
      </c>
      <c r="C1930" s="199" t="s">
        <v>34</v>
      </c>
      <c r="D1930" s="199" t="s">
        <v>35</v>
      </c>
      <c r="E1930" s="199">
        <v>150</v>
      </c>
      <c r="F1930" s="199" t="s">
        <v>679</v>
      </c>
      <c r="G1930" s="199" t="s">
        <v>4755</v>
      </c>
      <c r="H1930" s="200">
        <v>6388.5</v>
      </c>
      <c r="I1930" s="199" t="s">
        <v>20</v>
      </c>
      <c r="J1930" s="199" t="s">
        <v>415</v>
      </c>
      <c r="K1930" s="201">
        <v>45414</v>
      </c>
      <c r="L1930" s="199" t="s">
        <v>3319</v>
      </c>
      <c r="M1930" s="199" t="s">
        <v>3320</v>
      </c>
    </row>
    <row r="1931" spans="1:13" ht="85.5">
      <c r="A1931" s="199">
        <v>1930</v>
      </c>
      <c r="B1931" s="199" t="s">
        <v>5244</v>
      </c>
      <c r="C1931" s="199" t="s">
        <v>34</v>
      </c>
      <c r="D1931" s="199" t="s">
        <v>35</v>
      </c>
      <c r="E1931" s="199">
        <v>40</v>
      </c>
      <c r="F1931" s="199" t="s">
        <v>3846</v>
      </c>
      <c r="G1931" s="199" t="s">
        <v>4755</v>
      </c>
      <c r="H1931" s="200">
        <v>4936</v>
      </c>
      <c r="I1931" s="199" t="s">
        <v>20</v>
      </c>
      <c r="J1931" s="199" t="s">
        <v>415</v>
      </c>
      <c r="K1931" s="201">
        <v>45414</v>
      </c>
      <c r="L1931" s="199" t="s">
        <v>3319</v>
      </c>
      <c r="M1931" s="199" t="s">
        <v>3320</v>
      </c>
    </row>
    <row r="1932" spans="1:13" ht="85.5">
      <c r="A1932" s="199">
        <v>1931</v>
      </c>
      <c r="B1932" s="199" t="s">
        <v>5058</v>
      </c>
      <c r="C1932" s="199" t="s">
        <v>34</v>
      </c>
      <c r="D1932" s="199" t="s">
        <v>35</v>
      </c>
      <c r="E1932" s="199">
        <v>15</v>
      </c>
      <c r="F1932" s="199" t="s">
        <v>3846</v>
      </c>
      <c r="G1932" s="199" t="s">
        <v>4755</v>
      </c>
      <c r="H1932" s="200">
        <v>1812.75</v>
      </c>
      <c r="I1932" s="199" t="s">
        <v>20</v>
      </c>
      <c r="J1932" s="199" t="s">
        <v>415</v>
      </c>
      <c r="K1932" s="201">
        <v>45414</v>
      </c>
      <c r="L1932" s="199" t="s">
        <v>3319</v>
      </c>
      <c r="M1932" s="199" t="s">
        <v>3320</v>
      </c>
    </row>
    <row r="1933" spans="1:13" ht="85.5">
      <c r="A1933" s="199">
        <v>1932</v>
      </c>
      <c r="B1933" s="199" t="s">
        <v>5245</v>
      </c>
      <c r="C1933" s="199" t="s">
        <v>34</v>
      </c>
      <c r="D1933" s="199" t="s">
        <v>35</v>
      </c>
      <c r="E1933" s="199">
        <v>150</v>
      </c>
      <c r="F1933" s="199" t="s">
        <v>679</v>
      </c>
      <c r="G1933" s="199" t="s">
        <v>4755</v>
      </c>
      <c r="H1933" s="200">
        <v>6388.5</v>
      </c>
      <c r="I1933" s="199" t="s">
        <v>20</v>
      </c>
      <c r="J1933" s="199" t="s">
        <v>415</v>
      </c>
      <c r="K1933" s="201">
        <v>45414</v>
      </c>
      <c r="L1933" s="199" t="s">
        <v>3319</v>
      </c>
      <c r="M1933" s="199" t="s">
        <v>3320</v>
      </c>
    </row>
    <row r="1934" spans="1:13" ht="85.5">
      <c r="A1934" s="199">
        <v>1933</v>
      </c>
      <c r="B1934" s="199" t="s">
        <v>5246</v>
      </c>
      <c r="C1934" s="199" t="s">
        <v>34</v>
      </c>
      <c r="D1934" s="199" t="s">
        <v>35</v>
      </c>
      <c r="E1934" s="199">
        <v>2400</v>
      </c>
      <c r="F1934" s="199" t="s">
        <v>988</v>
      </c>
      <c r="G1934" s="199" t="s">
        <v>5247</v>
      </c>
      <c r="H1934" s="200">
        <v>30432</v>
      </c>
      <c r="I1934" s="199" t="s">
        <v>38</v>
      </c>
      <c r="J1934" s="199" t="s">
        <v>415</v>
      </c>
      <c r="K1934" s="201">
        <v>45306</v>
      </c>
      <c r="L1934" s="199" t="s">
        <v>3319</v>
      </c>
      <c r="M1934" s="199" t="s">
        <v>3320</v>
      </c>
    </row>
    <row r="1935" spans="1:13" ht="85.5">
      <c r="A1935" s="199">
        <v>1934</v>
      </c>
      <c r="B1935" s="199" t="s">
        <v>5248</v>
      </c>
      <c r="C1935" s="199" t="s">
        <v>34</v>
      </c>
      <c r="D1935" s="199" t="s">
        <v>35</v>
      </c>
      <c r="E1935" s="199">
        <v>2400</v>
      </c>
      <c r="F1935" s="199" t="s">
        <v>988</v>
      </c>
      <c r="G1935" s="199" t="s">
        <v>5247</v>
      </c>
      <c r="H1935" s="200">
        <v>15024</v>
      </c>
      <c r="I1935" s="199" t="s">
        <v>38</v>
      </c>
      <c r="J1935" s="199" t="s">
        <v>415</v>
      </c>
      <c r="K1935" s="201">
        <v>45306</v>
      </c>
      <c r="L1935" s="199" t="s">
        <v>3319</v>
      </c>
      <c r="M1935" s="199" t="s">
        <v>3320</v>
      </c>
    </row>
    <row r="1936" spans="1:13" ht="85.5">
      <c r="A1936" s="199">
        <v>1935</v>
      </c>
      <c r="B1936" s="199" t="s">
        <v>5249</v>
      </c>
      <c r="C1936" s="199" t="s">
        <v>34</v>
      </c>
      <c r="D1936" s="199" t="s">
        <v>35</v>
      </c>
      <c r="E1936" s="199">
        <v>400</v>
      </c>
      <c r="F1936" s="199" t="s">
        <v>5250</v>
      </c>
      <c r="G1936" s="199" t="s">
        <v>5247</v>
      </c>
      <c r="H1936" s="200">
        <v>8748</v>
      </c>
      <c r="I1936" s="199" t="s">
        <v>38</v>
      </c>
      <c r="J1936" s="199" t="s">
        <v>415</v>
      </c>
      <c r="K1936" s="201">
        <v>45306</v>
      </c>
      <c r="L1936" s="199" t="s">
        <v>3319</v>
      </c>
      <c r="M1936" s="199" t="s">
        <v>3320</v>
      </c>
    </row>
    <row r="1937" spans="1:13" ht="85.5">
      <c r="A1937" s="199">
        <v>1936</v>
      </c>
      <c r="B1937" s="199" t="s">
        <v>5251</v>
      </c>
      <c r="C1937" s="199" t="s">
        <v>34</v>
      </c>
      <c r="D1937" s="199" t="s">
        <v>35</v>
      </c>
      <c r="E1937" s="199">
        <v>16000</v>
      </c>
      <c r="F1937" s="199" t="s">
        <v>5252</v>
      </c>
      <c r="G1937" s="199" t="s">
        <v>5247</v>
      </c>
      <c r="H1937" s="200">
        <v>11680</v>
      </c>
      <c r="I1937" s="199" t="s">
        <v>38</v>
      </c>
      <c r="J1937" s="199" t="s">
        <v>415</v>
      </c>
      <c r="K1937" s="201">
        <v>45306</v>
      </c>
      <c r="L1937" s="199" t="s">
        <v>3319</v>
      </c>
      <c r="M1937" s="199" t="s">
        <v>3320</v>
      </c>
    </row>
    <row r="1938" spans="1:13" ht="85.5">
      <c r="A1938" s="199">
        <v>1937</v>
      </c>
      <c r="B1938" s="199" t="s">
        <v>5253</v>
      </c>
      <c r="C1938" s="199" t="s">
        <v>34</v>
      </c>
      <c r="D1938" s="199" t="s">
        <v>35</v>
      </c>
      <c r="E1938" s="199">
        <v>1200</v>
      </c>
      <c r="F1938" s="199" t="s">
        <v>5254</v>
      </c>
      <c r="G1938" s="199" t="s">
        <v>5247</v>
      </c>
      <c r="H1938" s="200">
        <v>6828</v>
      </c>
      <c r="I1938" s="199" t="s">
        <v>38</v>
      </c>
      <c r="J1938" s="199" t="s">
        <v>415</v>
      </c>
      <c r="K1938" s="201">
        <v>45306</v>
      </c>
      <c r="L1938" s="199" t="s">
        <v>3319</v>
      </c>
      <c r="M1938" s="199" t="s">
        <v>3320</v>
      </c>
    </row>
    <row r="1939" spans="1:13" ht="85.5">
      <c r="A1939" s="199">
        <v>1938</v>
      </c>
      <c r="B1939" s="199" t="s">
        <v>5255</v>
      </c>
      <c r="C1939" s="199" t="s">
        <v>34</v>
      </c>
      <c r="D1939" s="199" t="s">
        <v>35</v>
      </c>
      <c r="E1939" s="199">
        <v>720000</v>
      </c>
      <c r="F1939" s="199" t="s">
        <v>4678</v>
      </c>
      <c r="G1939" s="199" t="s">
        <v>5247</v>
      </c>
      <c r="H1939" s="200">
        <v>122400</v>
      </c>
      <c r="I1939" s="199" t="s">
        <v>38</v>
      </c>
      <c r="J1939" s="199" t="s">
        <v>415</v>
      </c>
      <c r="K1939" s="201">
        <v>45306</v>
      </c>
      <c r="L1939" s="199" t="s">
        <v>3319</v>
      </c>
      <c r="M1939" s="199" t="s">
        <v>3320</v>
      </c>
    </row>
    <row r="1940" spans="1:13" ht="85.5">
      <c r="A1940" s="199">
        <v>1939</v>
      </c>
      <c r="B1940" s="199" t="s">
        <v>5255</v>
      </c>
      <c r="C1940" s="199" t="s">
        <v>34</v>
      </c>
      <c r="D1940" s="199" t="s">
        <v>35</v>
      </c>
      <c r="E1940" s="199">
        <v>240000</v>
      </c>
      <c r="F1940" s="199" t="s">
        <v>4678</v>
      </c>
      <c r="G1940" s="199" t="s">
        <v>5247</v>
      </c>
      <c r="H1940" s="200">
        <v>40800</v>
      </c>
      <c r="I1940" s="199" t="s">
        <v>38</v>
      </c>
      <c r="J1940" s="199" t="s">
        <v>415</v>
      </c>
      <c r="K1940" s="201">
        <v>45306</v>
      </c>
      <c r="L1940" s="199" t="s">
        <v>3319</v>
      </c>
      <c r="M1940" s="199" t="s">
        <v>3320</v>
      </c>
    </row>
    <row r="1941" spans="1:13" ht="85.5">
      <c r="A1941" s="199">
        <v>1940</v>
      </c>
      <c r="B1941" s="199" t="s">
        <v>5256</v>
      </c>
      <c r="C1941" s="199" t="s">
        <v>34</v>
      </c>
      <c r="D1941" s="199" t="s">
        <v>35</v>
      </c>
      <c r="E1941" s="199">
        <v>90000</v>
      </c>
      <c r="F1941" s="199" t="s">
        <v>4678</v>
      </c>
      <c r="G1941" s="199" t="s">
        <v>5247</v>
      </c>
      <c r="H1941" s="200">
        <v>23400</v>
      </c>
      <c r="I1941" s="199" t="s">
        <v>38</v>
      </c>
      <c r="J1941" s="199" t="s">
        <v>415</v>
      </c>
      <c r="K1941" s="201">
        <v>45306</v>
      </c>
      <c r="L1941" s="199" t="s">
        <v>3319</v>
      </c>
      <c r="M1941" s="199" t="s">
        <v>3320</v>
      </c>
    </row>
    <row r="1942" spans="1:13" ht="85.5">
      <c r="A1942" s="199">
        <v>1941</v>
      </c>
      <c r="B1942" s="199" t="s">
        <v>5257</v>
      </c>
      <c r="C1942" s="199" t="s">
        <v>34</v>
      </c>
      <c r="D1942" s="199" t="s">
        <v>35</v>
      </c>
      <c r="E1942" s="199">
        <v>210000</v>
      </c>
      <c r="F1942" s="199" t="s">
        <v>4678</v>
      </c>
      <c r="G1942" s="199" t="s">
        <v>5247</v>
      </c>
      <c r="H1942" s="200">
        <v>44100</v>
      </c>
      <c r="I1942" s="199" t="s">
        <v>38</v>
      </c>
      <c r="J1942" s="199" t="s">
        <v>415</v>
      </c>
      <c r="K1942" s="201">
        <v>45306</v>
      </c>
      <c r="L1942" s="199" t="s">
        <v>3319</v>
      </c>
      <c r="M1942" s="199" t="s">
        <v>3320</v>
      </c>
    </row>
    <row r="1943" spans="1:13" ht="85.5">
      <c r="A1943" s="199">
        <v>1942</v>
      </c>
      <c r="B1943" s="199" t="s">
        <v>5258</v>
      </c>
      <c r="C1943" s="199" t="s">
        <v>34</v>
      </c>
      <c r="D1943" s="199" t="s">
        <v>35</v>
      </c>
      <c r="E1943" s="199">
        <v>10000</v>
      </c>
      <c r="F1943" s="199" t="s">
        <v>4678</v>
      </c>
      <c r="G1943" s="199" t="s">
        <v>5247</v>
      </c>
      <c r="H1943" s="200">
        <v>20700</v>
      </c>
      <c r="I1943" s="199" t="s">
        <v>38</v>
      </c>
      <c r="J1943" s="199" t="s">
        <v>415</v>
      </c>
      <c r="K1943" s="201">
        <v>45306</v>
      </c>
      <c r="L1943" s="199" t="s">
        <v>3319</v>
      </c>
      <c r="M1943" s="199" t="s">
        <v>3320</v>
      </c>
    </row>
    <row r="1944" spans="1:13" ht="85.5">
      <c r="A1944" s="199">
        <v>1943</v>
      </c>
      <c r="B1944" s="199" t="s">
        <v>5259</v>
      </c>
      <c r="C1944" s="199" t="s">
        <v>34</v>
      </c>
      <c r="D1944" s="199" t="s">
        <v>35</v>
      </c>
      <c r="E1944" s="199">
        <v>112500</v>
      </c>
      <c r="F1944" s="199" t="s">
        <v>5260</v>
      </c>
      <c r="G1944" s="199" t="s">
        <v>5247</v>
      </c>
      <c r="H1944" s="200">
        <v>69750</v>
      </c>
      <c r="I1944" s="199" t="s">
        <v>38</v>
      </c>
      <c r="J1944" s="199" t="s">
        <v>415</v>
      </c>
      <c r="K1944" s="201">
        <v>45306</v>
      </c>
      <c r="L1944" s="199" t="s">
        <v>3319</v>
      </c>
      <c r="M1944" s="199" t="s">
        <v>3320</v>
      </c>
    </row>
    <row r="1945" spans="1:13" ht="85.5">
      <c r="A1945" s="199">
        <v>1944</v>
      </c>
      <c r="B1945" s="199" t="s">
        <v>5259</v>
      </c>
      <c r="C1945" s="199" t="s">
        <v>34</v>
      </c>
      <c r="D1945" s="199" t="s">
        <v>35</v>
      </c>
      <c r="E1945" s="199">
        <v>37500</v>
      </c>
      <c r="F1945" s="199" t="s">
        <v>5260</v>
      </c>
      <c r="G1945" s="199" t="s">
        <v>5247</v>
      </c>
      <c r="H1945" s="200">
        <v>23250</v>
      </c>
      <c r="I1945" s="199" t="s">
        <v>38</v>
      </c>
      <c r="J1945" s="199" t="s">
        <v>415</v>
      </c>
      <c r="K1945" s="201">
        <v>45306</v>
      </c>
      <c r="L1945" s="199" t="s">
        <v>3319</v>
      </c>
      <c r="M1945" s="199" t="s">
        <v>3320</v>
      </c>
    </row>
    <row r="1946" spans="1:13" ht="85.5">
      <c r="A1946" s="199">
        <v>1945</v>
      </c>
      <c r="B1946" s="199" t="s">
        <v>5261</v>
      </c>
      <c r="C1946" s="199" t="s">
        <v>34</v>
      </c>
      <c r="D1946" s="199" t="s">
        <v>35</v>
      </c>
      <c r="E1946" s="199">
        <v>10000</v>
      </c>
      <c r="F1946" s="199" t="s">
        <v>4678</v>
      </c>
      <c r="G1946" s="199" t="s">
        <v>5247</v>
      </c>
      <c r="H1946" s="200">
        <v>11200</v>
      </c>
      <c r="I1946" s="199" t="s">
        <v>38</v>
      </c>
      <c r="J1946" s="199" t="s">
        <v>415</v>
      </c>
      <c r="K1946" s="201">
        <v>45306</v>
      </c>
      <c r="L1946" s="199" t="s">
        <v>3319</v>
      </c>
      <c r="M1946" s="199" t="s">
        <v>3320</v>
      </c>
    </row>
    <row r="1947" spans="1:13" ht="85.5">
      <c r="A1947" s="199">
        <v>1946</v>
      </c>
      <c r="B1947" s="199" t="s">
        <v>5262</v>
      </c>
      <c r="C1947" s="199" t="s">
        <v>34</v>
      </c>
      <c r="D1947" s="199" t="s">
        <v>35</v>
      </c>
      <c r="E1947" s="199">
        <v>1800</v>
      </c>
      <c r="F1947" s="199" t="s">
        <v>5250</v>
      </c>
      <c r="G1947" s="199" t="s">
        <v>5247</v>
      </c>
      <c r="H1947" s="200">
        <v>1008</v>
      </c>
      <c r="I1947" s="199" t="s">
        <v>38</v>
      </c>
      <c r="J1947" s="199" t="s">
        <v>415</v>
      </c>
      <c r="K1947" s="201">
        <v>45306</v>
      </c>
      <c r="L1947" s="199" t="s">
        <v>3319</v>
      </c>
      <c r="M1947" s="199" t="s">
        <v>3320</v>
      </c>
    </row>
    <row r="1948" spans="1:13" ht="85.5">
      <c r="A1948" s="199">
        <v>1947</v>
      </c>
      <c r="B1948" s="199" t="s">
        <v>5263</v>
      </c>
      <c r="C1948" s="199" t="s">
        <v>34</v>
      </c>
      <c r="D1948" s="199" t="s">
        <v>35</v>
      </c>
      <c r="E1948" s="199">
        <v>2000</v>
      </c>
      <c r="F1948" s="199" t="s">
        <v>988</v>
      </c>
      <c r="G1948" s="199" t="s">
        <v>5247</v>
      </c>
      <c r="H1948" s="200">
        <v>4040</v>
      </c>
      <c r="I1948" s="199" t="s">
        <v>38</v>
      </c>
      <c r="J1948" s="199" t="s">
        <v>415</v>
      </c>
      <c r="K1948" s="201">
        <v>45306</v>
      </c>
      <c r="L1948" s="199" t="s">
        <v>3319</v>
      </c>
      <c r="M1948" s="199" t="s">
        <v>3320</v>
      </c>
    </row>
    <row r="1949" spans="1:13" ht="85.5">
      <c r="A1949" s="199">
        <v>1948</v>
      </c>
      <c r="B1949" s="199" t="s">
        <v>5264</v>
      </c>
      <c r="C1949" s="199" t="s">
        <v>34</v>
      </c>
      <c r="D1949" s="199" t="s">
        <v>35</v>
      </c>
      <c r="E1949" s="199">
        <v>3200</v>
      </c>
      <c r="F1949" s="199" t="s">
        <v>4678</v>
      </c>
      <c r="G1949" s="199" t="s">
        <v>5247</v>
      </c>
      <c r="H1949" s="200">
        <v>2656</v>
      </c>
      <c r="I1949" s="199" t="s">
        <v>38</v>
      </c>
      <c r="J1949" s="199" t="s">
        <v>415</v>
      </c>
      <c r="K1949" s="201">
        <v>45306</v>
      </c>
      <c r="L1949" s="199" t="s">
        <v>3319</v>
      </c>
      <c r="M1949" s="199" t="s">
        <v>3320</v>
      </c>
    </row>
    <row r="1950" spans="1:13" ht="85.5">
      <c r="A1950" s="199">
        <v>1949</v>
      </c>
      <c r="B1950" s="199" t="s">
        <v>5265</v>
      </c>
      <c r="C1950" s="199" t="s">
        <v>34</v>
      </c>
      <c r="D1950" s="199" t="s">
        <v>35</v>
      </c>
      <c r="E1950" s="199">
        <v>12000</v>
      </c>
      <c r="F1950" s="199" t="s">
        <v>4678</v>
      </c>
      <c r="G1950" s="199" t="s">
        <v>5247</v>
      </c>
      <c r="H1950" s="200">
        <v>4920</v>
      </c>
      <c r="I1950" s="199" t="s">
        <v>38</v>
      </c>
      <c r="J1950" s="199" t="s">
        <v>415</v>
      </c>
      <c r="K1950" s="201">
        <v>45306</v>
      </c>
      <c r="L1950" s="199" t="s">
        <v>3319</v>
      </c>
      <c r="M1950" s="199" t="s">
        <v>3320</v>
      </c>
    </row>
    <row r="1951" spans="1:13" ht="85.5">
      <c r="A1951" s="199">
        <v>1950</v>
      </c>
      <c r="B1951" s="199" t="s">
        <v>5266</v>
      </c>
      <c r="C1951" s="199" t="s">
        <v>34</v>
      </c>
      <c r="D1951" s="199" t="s">
        <v>35</v>
      </c>
      <c r="E1951" s="199">
        <v>180000</v>
      </c>
      <c r="F1951" s="199" t="s">
        <v>4678</v>
      </c>
      <c r="G1951" s="199" t="s">
        <v>5247</v>
      </c>
      <c r="H1951" s="200">
        <v>37800</v>
      </c>
      <c r="I1951" s="199" t="s">
        <v>38</v>
      </c>
      <c r="J1951" s="199" t="s">
        <v>415</v>
      </c>
      <c r="K1951" s="201">
        <v>45306</v>
      </c>
      <c r="L1951" s="199" t="s">
        <v>3319</v>
      </c>
      <c r="M1951" s="199" t="s">
        <v>3320</v>
      </c>
    </row>
    <row r="1952" spans="1:13" ht="85.5">
      <c r="A1952" s="199">
        <v>1951</v>
      </c>
      <c r="B1952" s="199" t="s">
        <v>5267</v>
      </c>
      <c r="C1952" s="199" t="s">
        <v>34</v>
      </c>
      <c r="D1952" s="199" t="s">
        <v>35</v>
      </c>
      <c r="E1952" s="199">
        <v>150000</v>
      </c>
      <c r="F1952" s="199" t="s">
        <v>4678</v>
      </c>
      <c r="G1952" s="199" t="s">
        <v>5247</v>
      </c>
      <c r="H1952" s="200">
        <v>67500</v>
      </c>
      <c r="I1952" s="199" t="s">
        <v>38</v>
      </c>
      <c r="J1952" s="199" t="s">
        <v>415</v>
      </c>
      <c r="K1952" s="201">
        <v>45306</v>
      </c>
      <c r="L1952" s="199" t="s">
        <v>3319</v>
      </c>
      <c r="M1952" s="199" t="s">
        <v>3320</v>
      </c>
    </row>
    <row r="1953" spans="1:13" ht="85.5">
      <c r="A1953" s="199">
        <v>1952</v>
      </c>
      <c r="B1953" s="199" t="s">
        <v>5268</v>
      </c>
      <c r="C1953" s="199" t="s">
        <v>34</v>
      </c>
      <c r="D1953" s="199" t="s">
        <v>35</v>
      </c>
      <c r="E1953" s="199">
        <v>2200</v>
      </c>
      <c r="F1953" s="199" t="s">
        <v>988</v>
      </c>
      <c r="G1953" s="199" t="s">
        <v>5247</v>
      </c>
      <c r="H1953" s="200">
        <v>10076</v>
      </c>
      <c r="I1953" s="199" t="s">
        <v>38</v>
      </c>
      <c r="J1953" s="199" t="s">
        <v>415</v>
      </c>
      <c r="K1953" s="201">
        <v>45306</v>
      </c>
      <c r="L1953" s="199" t="s">
        <v>3319</v>
      </c>
      <c r="M1953" s="199" t="s">
        <v>3320</v>
      </c>
    </row>
    <row r="1954" spans="1:13" ht="85.5">
      <c r="A1954" s="199">
        <v>1953</v>
      </c>
      <c r="B1954" s="199" t="s">
        <v>5269</v>
      </c>
      <c r="C1954" s="199" t="s">
        <v>34</v>
      </c>
      <c r="D1954" s="199" t="s">
        <v>35</v>
      </c>
      <c r="E1954" s="199">
        <v>2200</v>
      </c>
      <c r="F1954" s="199" t="s">
        <v>988</v>
      </c>
      <c r="G1954" s="199" t="s">
        <v>5247</v>
      </c>
      <c r="H1954" s="200">
        <v>13992</v>
      </c>
      <c r="I1954" s="199" t="s">
        <v>38</v>
      </c>
      <c r="J1954" s="199" t="s">
        <v>415</v>
      </c>
      <c r="K1954" s="201">
        <v>45306</v>
      </c>
      <c r="L1954" s="199" t="s">
        <v>3319</v>
      </c>
      <c r="M1954" s="199" t="s">
        <v>3320</v>
      </c>
    </row>
    <row r="1955" spans="1:13" ht="85.5">
      <c r="A1955" s="199">
        <v>1954</v>
      </c>
      <c r="B1955" s="199" t="s">
        <v>5270</v>
      </c>
      <c r="C1955" s="199" t="s">
        <v>34</v>
      </c>
      <c r="D1955" s="199" t="s">
        <v>35</v>
      </c>
      <c r="E1955" s="199">
        <v>50000</v>
      </c>
      <c r="F1955" s="199" t="s">
        <v>4678</v>
      </c>
      <c r="G1955" s="199" t="s">
        <v>5247</v>
      </c>
      <c r="H1955" s="200">
        <v>6500</v>
      </c>
      <c r="I1955" s="199" t="s">
        <v>38</v>
      </c>
      <c r="J1955" s="199" t="s">
        <v>415</v>
      </c>
      <c r="K1955" s="201">
        <v>45306</v>
      </c>
      <c r="L1955" s="199" t="s">
        <v>3319</v>
      </c>
      <c r="M1955" s="199" t="s">
        <v>3320</v>
      </c>
    </row>
    <row r="1956" spans="1:13" ht="85.5">
      <c r="A1956" s="199">
        <v>1955</v>
      </c>
      <c r="B1956" s="199" t="s">
        <v>5271</v>
      </c>
      <c r="C1956" s="199" t="s">
        <v>34</v>
      </c>
      <c r="D1956" s="199" t="s">
        <v>35</v>
      </c>
      <c r="E1956" s="199">
        <v>400</v>
      </c>
      <c r="F1956" s="199" t="s">
        <v>5250</v>
      </c>
      <c r="G1956" s="199" t="s">
        <v>5247</v>
      </c>
      <c r="H1956" s="200">
        <v>712</v>
      </c>
      <c r="I1956" s="199" t="s">
        <v>38</v>
      </c>
      <c r="J1956" s="199" t="s">
        <v>415</v>
      </c>
      <c r="K1956" s="201">
        <v>45306</v>
      </c>
      <c r="L1956" s="199" t="s">
        <v>3319</v>
      </c>
      <c r="M1956" s="199" t="s">
        <v>3320</v>
      </c>
    </row>
    <row r="1957" spans="1:13" ht="85.5">
      <c r="A1957" s="199">
        <v>1956</v>
      </c>
      <c r="B1957" s="199" t="s">
        <v>5272</v>
      </c>
      <c r="C1957" s="199" t="s">
        <v>34</v>
      </c>
      <c r="D1957" s="199" t="s">
        <v>35</v>
      </c>
      <c r="E1957" s="199">
        <v>90000</v>
      </c>
      <c r="F1957" s="199" t="s">
        <v>4678</v>
      </c>
      <c r="G1957" s="199" t="s">
        <v>5247</v>
      </c>
      <c r="H1957" s="200">
        <v>92700</v>
      </c>
      <c r="I1957" s="199" t="s">
        <v>38</v>
      </c>
      <c r="J1957" s="199" t="s">
        <v>415</v>
      </c>
      <c r="K1957" s="201">
        <v>45306</v>
      </c>
      <c r="L1957" s="199" t="s">
        <v>3319</v>
      </c>
      <c r="M1957" s="199" t="s">
        <v>3320</v>
      </c>
    </row>
    <row r="1958" spans="1:13" ht="85.5">
      <c r="A1958" s="199">
        <v>1957</v>
      </c>
      <c r="B1958" s="199" t="s">
        <v>5272</v>
      </c>
      <c r="C1958" s="199" t="s">
        <v>34</v>
      </c>
      <c r="D1958" s="199" t="s">
        <v>35</v>
      </c>
      <c r="E1958" s="199">
        <v>30000</v>
      </c>
      <c r="F1958" s="199" t="s">
        <v>4678</v>
      </c>
      <c r="G1958" s="199" t="s">
        <v>5247</v>
      </c>
      <c r="H1958" s="200">
        <v>30900</v>
      </c>
      <c r="I1958" s="199" t="s">
        <v>38</v>
      </c>
      <c r="J1958" s="199" t="s">
        <v>415</v>
      </c>
      <c r="K1958" s="201">
        <v>45306</v>
      </c>
      <c r="L1958" s="199" t="s">
        <v>3319</v>
      </c>
      <c r="M1958" s="199" t="s">
        <v>3320</v>
      </c>
    </row>
    <row r="1959" spans="1:13" ht="85.5">
      <c r="A1959" s="199">
        <v>1958</v>
      </c>
      <c r="B1959" s="199" t="s">
        <v>5273</v>
      </c>
      <c r="C1959" s="199" t="s">
        <v>34</v>
      </c>
      <c r="D1959" s="199" t="s">
        <v>35</v>
      </c>
      <c r="E1959" s="199">
        <v>400</v>
      </c>
      <c r="F1959" s="199" t="s">
        <v>5250</v>
      </c>
      <c r="G1959" s="199" t="s">
        <v>5247</v>
      </c>
      <c r="H1959" s="200">
        <v>1860</v>
      </c>
      <c r="I1959" s="199" t="s">
        <v>38</v>
      </c>
      <c r="J1959" s="199" t="s">
        <v>415</v>
      </c>
      <c r="K1959" s="201">
        <v>45306</v>
      </c>
      <c r="L1959" s="199" t="s">
        <v>3319</v>
      </c>
      <c r="M1959" s="199" t="s">
        <v>3320</v>
      </c>
    </row>
    <row r="1960" spans="1:13" ht="85.5">
      <c r="A1960" s="199">
        <v>1959</v>
      </c>
      <c r="B1960" s="199" t="s">
        <v>5274</v>
      </c>
      <c r="C1960" s="199" t="s">
        <v>34</v>
      </c>
      <c r="D1960" s="199" t="s">
        <v>35</v>
      </c>
      <c r="E1960" s="199">
        <v>180000</v>
      </c>
      <c r="F1960" s="199" t="s">
        <v>4678</v>
      </c>
      <c r="G1960" s="199" t="s">
        <v>5247</v>
      </c>
      <c r="H1960" s="200">
        <v>39600</v>
      </c>
      <c r="I1960" s="199" t="s">
        <v>38</v>
      </c>
      <c r="J1960" s="199" t="s">
        <v>415</v>
      </c>
      <c r="K1960" s="201">
        <v>45306</v>
      </c>
      <c r="L1960" s="199" t="s">
        <v>3319</v>
      </c>
      <c r="M1960" s="199" t="s">
        <v>3320</v>
      </c>
    </row>
    <row r="1961" spans="1:13" ht="85.5">
      <c r="A1961" s="199">
        <v>1960</v>
      </c>
      <c r="B1961" s="199" t="s">
        <v>5275</v>
      </c>
      <c r="C1961" s="199" t="s">
        <v>34</v>
      </c>
      <c r="D1961" s="199" t="s">
        <v>35</v>
      </c>
      <c r="E1961" s="199">
        <v>2200</v>
      </c>
      <c r="F1961" s="199" t="s">
        <v>988</v>
      </c>
      <c r="G1961" s="199" t="s">
        <v>5247</v>
      </c>
      <c r="H1961" s="200">
        <v>22968</v>
      </c>
      <c r="I1961" s="199" t="s">
        <v>38</v>
      </c>
      <c r="J1961" s="199" t="s">
        <v>415</v>
      </c>
      <c r="K1961" s="201">
        <v>45306</v>
      </c>
      <c r="L1961" s="199" t="s">
        <v>3319</v>
      </c>
      <c r="M1961" s="199" t="s">
        <v>3320</v>
      </c>
    </row>
    <row r="1962" spans="1:13" ht="85.5">
      <c r="A1962" s="199">
        <v>1961</v>
      </c>
      <c r="B1962" s="199" t="s">
        <v>5276</v>
      </c>
      <c r="C1962" s="199" t="s">
        <v>34</v>
      </c>
      <c r="D1962" s="199" t="s">
        <v>35</v>
      </c>
      <c r="E1962" s="199">
        <v>40000</v>
      </c>
      <c r="F1962" s="199" t="s">
        <v>5260</v>
      </c>
      <c r="G1962" s="199" t="s">
        <v>5247</v>
      </c>
      <c r="H1962" s="200">
        <v>16800</v>
      </c>
      <c r="I1962" s="199" t="s">
        <v>38</v>
      </c>
      <c r="J1962" s="199" t="s">
        <v>415</v>
      </c>
      <c r="K1962" s="201">
        <v>45306</v>
      </c>
      <c r="L1962" s="199" t="s">
        <v>3319</v>
      </c>
      <c r="M1962" s="199" t="s">
        <v>3320</v>
      </c>
    </row>
    <row r="1963" spans="1:13" ht="85.5">
      <c r="A1963" s="199">
        <v>1962</v>
      </c>
      <c r="B1963" s="199" t="s">
        <v>5277</v>
      </c>
      <c r="C1963" s="199" t="s">
        <v>34</v>
      </c>
      <c r="D1963" s="199" t="s">
        <v>35</v>
      </c>
      <c r="E1963" s="199">
        <v>67500</v>
      </c>
      <c r="F1963" s="199" t="s">
        <v>4678</v>
      </c>
      <c r="G1963" s="199" t="s">
        <v>5247</v>
      </c>
      <c r="H1963" s="200">
        <v>555525</v>
      </c>
      <c r="I1963" s="199" t="s">
        <v>38</v>
      </c>
      <c r="J1963" s="199" t="s">
        <v>415</v>
      </c>
      <c r="K1963" s="201">
        <v>45306</v>
      </c>
      <c r="L1963" s="199" t="s">
        <v>3319</v>
      </c>
      <c r="M1963" s="199" t="s">
        <v>3320</v>
      </c>
    </row>
    <row r="1964" spans="1:13" ht="85.5">
      <c r="A1964" s="199">
        <v>1963</v>
      </c>
      <c r="B1964" s="199" t="s">
        <v>5277</v>
      </c>
      <c r="C1964" s="199" t="s">
        <v>34</v>
      </c>
      <c r="D1964" s="199" t="s">
        <v>35</v>
      </c>
      <c r="E1964" s="199">
        <v>22500</v>
      </c>
      <c r="F1964" s="199" t="s">
        <v>4678</v>
      </c>
      <c r="G1964" s="199" t="s">
        <v>5247</v>
      </c>
      <c r="H1964" s="200">
        <v>185175</v>
      </c>
      <c r="I1964" s="199" t="s">
        <v>38</v>
      </c>
      <c r="J1964" s="199" t="s">
        <v>415</v>
      </c>
      <c r="K1964" s="201">
        <v>45306</v>
      </c>
      <c r="L1964" s="199" t="s">
        <v>3319</v>
      </c>
      <c r="M1964" s="199" t="s">
        <v>3320</v>
      </c>
    </row>
    <row r="1965" spans="1:13" ht="128.25">
      <c r="A1965" s="199">
        <v>1964</v>
      </c>
      <c r="B1965" s="199" t="s">
        <v>5278</v>
      </c>
      <c r="C1965" s="199" t="s">
        <v>34</v>
      </c>
      <c r="D1965" s="199" t="s">
        <v>35</v>
      </c>
      <c r="E1965" s="199">
        <v>2200</v>
      </c>
      <c r="F1965" s="199" t="s">
        <v>988</v>
      </c>
      <c r="G1965" s="199" t="s">
        <v>5247</v>
      </c>
      <c r="H1965" s="200">
        <v>53614</v>
      </c>
      <c r="I1965" s="199" t="s">
        <v>38</v>
      </c>
      <c r="J1965" s="199" t="s">
        <v>415</v>
      </c>
      <c r="K1965" s="201">
        <v>45306</v>
      </c>
      <c r="L1965" s="199" t="s">
        <v>3319</v>
      </c>
      <c r="M1965" s="199" t="s">
        <v>3320</v>
      </c>
    </row>
    <row r="1966" spans="1:13" ht="85.5">
      <c r="A1966" s="199">
        <v>1965</v>
      </c>
      <c r="B1966" s="199" t="s">
        <v>5279</v>
      </c>
      <c r="C1966" s="199" t="s">
        <v>34</v>
      </c>
      <c r="D1966" s="199" t="s">
        <v>35</v>
      </c>
      <c r="E1966" s="199">
        <v>320000</v>
      </c>
      <c r="F1966" s="199" t="s">
        <v>4678</v>
      </c>
      <c r="G1966" s="199" t="s">
        <v>5247</v>
      </c>
      <c r="H1966" s="200">
        <v>73600</v>
      </c>
      <c r="I1966" s="199" t="s">
        <v>38</v>
      </c>
      <c r="J1966" s="199" t="s">
        <v>415</v>
      </c>
      <c r="K1966" s="201">
        <v>45306</v>
      </c>
      <c r="L1966" s="199" t="s">
        <v>3319</v>
      </c>
      <c r="M1966" s="199" t="s">
        <v>3320</v>
      </c>
    </row>
    <row r="1967" spans="1:13" ht="85.5">
      <c r="A1967" s="199">
        <v>1966</v>
      </c>
      <c r="B1967" s="199" t="s">
        <v>5280</v>
      </c>
      <c r="C1967" s="199" t="s">
        <v>34</v>
      </c>
      <c r="D1967" s="199" t="s">
        <v>35</v>
      </c>
      <c r="E1967" s="199">
        <v>30000</v>
      </c>
      <c r="F1967" s="199" t="s">
        <v>4678</v>
      </c>
      <c r="G1967" s="199" t="s">
        <v>5247</v>
      </c>
      <c r="H1967" s="200">
        <v>8400</v>
      </c>
      <c r="I1967" s="199" t="s">
        <v>38</v>
      </c>
      <c r="J1967" s="199" t="s">
        <v>415</v>
      </c>
      <c r="K1967" s="201">
        <v>45306</v>
      </c>
      <c r="L1967" s="199" t="s">
        <v>3319</v>
      </c>
      <c r="M1967" s="199" t="s">
        <v>3320</v>
      </c>
    </row>
    <row r="1968" spans="1:13" ht="85.5">
      <c r="A1968" s="199">
        <v>1967</v>
      </c>
      <c r="B1968" s="199" t="s">
        <v>5281</v>
      </c>
      <c r="C1968" s="199" t="s">
        <v>34</v>
      </c>
      <c r="D1968" s="199" t="s">
        <v>35</v>
      </c>
      <c r="E1968" s="199">
        <v>750000</v>
      </c>
      <c r="F1968" s="199" t="s">
        <v>4678</v>
      </c>
      <c r="G1968" s="199" t="s">
        <v>5247</v>
      </c>
      <c r="H1968" s="200">
        <v>97500</v>
      </c>
      <c r="I1968" s="199" t="s">
        <v>38</v>
      </c>
      <c r="J1968" s="199" t="s">
        <v>415</v>
      </c>
      <c r="K1968" s="201">
        <v>45306</v>
      </c>
      <c r="L1968" s="199" t="s">
        <v>3319</v>
      </c>
      <c r="M1968" s="199" t="s">
        <v>3320</v>
      </c>
    </row>
    <row r="1969" spans="1:13" ht="85.5">
      <c r="A1969" s="199">
        <v>1968</v>
      </c>
      <c r="B1969" s="199" t="s">
        <v>5281</v>
      </c>
      <c r="C1969" s="199" t="s">
        <v>34</v>
      </c>
      <c r="D1969" s="199" t="s">
        <v>35</v>
      </c>
      <c r="E1969" s="199">
        <v>250000</v>
      </c>
      <c r="F1969" s="199" t="s">
        <v>4678</v>
      </c>
      <c r="G1969" s="199" t="s">
        <v>5247</v>
      </c>
      <c r="H1969" s="200">
        <v>32500</v>
      </c>
      <c r="I1969" s="199" t="s">
        <v>38</v>
      </c>
      <c r="J1969" s="199" t="s">
        <v>415</v>
      </c>
      <c r="K1969" s="201">
        <v>45306</v>
      </c>
      <c r="L1969" s="199" t="s">
        <v>3319</v>
      </c>
      <c r="M1969" s="199" t="s">
        <v>3320</v>
      </c>
    </row>
    <row r="1970" spans="1:13" ht="85.5">
      <c r="A1970" s="199">
        <v>1969</v>
      </c>
      <c r="B1970" s="199" t="s">
        <v>5282</v>
      </c>
      <c r="C1970" s="199" t="s">
        <v>34</v>
      </c>
      <c r="D1970" s="199" t="s">
        <v>35</v>
      </c>
      <c r="E1970" s="199">
        <v>607500</v>
      </c>
      <c r="F1970" s="199" t="s">
        <v>4678</v>
      </c>
      <c r="G1970" s="199" t="s">
        <v>5247</v>
      </c>
      <c r="H1970" s="200">
        <v>121500</v>
      </c>
      <c r="I1970" s="199" t="s">
        <v>38</v>
      </c>
      <c r="J1970" s="199" t="s">
        <v>415</v>
      </c>
      <c r="K1970" s="201">
        <v>45306</v>
      </c>
      <c r="L1970" s="199" t="s">
        <v>3319</v>
      </c>
      <c r="M1970" s="199" t="s">
        <v>3320</v>
      </c>
    </row>
    <row r="1971" spans="1:13" ht="85.5">
      <c r="A1971" s="199">
        <v>1970</v>
      </c>
      <c r="B1971" s="199" t="s">
        <v>5282</v>
      </c>
      <c r="C1971" s="199" t="s">
        <v>34</v>
      </c>
      <c r="D1971" s="199" t="s">
        <v>35</v>
      </c>
      <c r="E1971" s="199">
        <v>202500</v>
      </c>
      <c r="F1971" s="199" t="s">
        <v>4678</v>
      </c>
      <c r="G1971" s="199" t="s">
        <v>5247</v>
      </c>
      <c r="H1971" s="200">
        <v>40500</v>
      </c>
      <c r="I1971" s="199" t="s">
        <v>38</v>
      </c>
      <c r="J1971" s="199" t="s">
        <v>415</v>
      </c>
      <c r="K1971" s="201">
        <v>45306</v>
      </c>
      <c r="L1971" s="199" t="s">
        <v>3319</v>
      </c>
      <c r="M1971" s="199" t="s">
        <v>3320</v>
      </c>
    </row>
    <row r="1972" spans="1:13" ht="85.5">
      <c r="A1972" s="199">
        <v>1971</v>
      </c>
      <c r="B1972" s="199" t="s">
        <v>5283</v>
      </c>
      <c r="C1972" s="199" t="s">
        <v>34</v>
      </c>
      <c r="D1972" s="199" t="s">
        <v>35</v>
      </c>
      <c r="E1972" s="199">
        <v>400</v>
      </c>
      <c r="F1972" s="199" t="s">
        <v>5250</v>
      </c>
      <c r="G1972" s="199" t="s">
        <v>5247</v>
      </c>
      <c r="H1972" s="200">
        <v>520</v>
      </c>
      <c r="I1972" s="199" t="s">
        <v>38</v>
      </c>
      <c r="J1972" s="199" t="s">
        <v>415</v>
      </c>
      <c r="K1972" s="201">
        <v>45306</v>
      </c>
      <c r="L1972" s="199" t="s">
        <v>3319</v>
      </c>
      <c r="M1972" s="199" t="s">
        <v>3320</v>
      </c>
    </row>
    <row r="1973" spans="1:13" ht="85.5">
      <c r="A1973" s="199">
        <v>1972</v>
      </c>
      <c r="B1973" s="199" t="s">
        <v>5284</v>
      </c>
      <c r="C1973" s="199" t="s">
        <v>34</v>
      </c>
      <c r="D1973" s="199" t="s">
        <v>35</v>
      </c>
      <c r="E1973" s="199">
        <v>30000</v>
      </c>
      <c r="F1973" s="199" t="s">
        <v>4678</v>
      </c>
      <c r="G1973" s="199" t="s">
        <v>5247</v>
      </c>
      <c r="H1973" s="200">
        <v>63300</v>
      </c>
      <c r="I1973" s="199" t="s">
        <v>38</v>
      </c>
      <c r="J1973" s="199" t="s">
        <v>415</v>
      </c>
      <c r="K1973" s="201">
        <v>45306</v>
      </c>
      <c r="L1973" s="199" t="s">
        <v>3319</v>
      </c>
      <c r="M1973" s="199" t="s">
        <v>3320</v>
      </c>
    </row>
    <row r="1974" spans="1:13" ht="85.5">
      <c r="A1974" s="199">
        <v>1973</v>
      </c>
      <c r="B1974" s="199" t="s">
        <v>5284</v>
      </c>
      <c r="C1974" s="199" t="s">
        <v>34</v>
      </c>
      <c r="D1974" s="199" t="s">
        <v>35</v>
      </c>
      <c r="E1974" s="199">
        <v>10000</v>
      </c>
      <c r="F1974" s="199" t="s">
        <v>4678</v>
      </c>
      <c r="G1974" s="199" t="s">
        <v>5247</v>
      </c>
      <c r="H1974" s="200">
        <v>21100</v>
      </c>
      <c r="I1974" s="199" t="s">
        <v>38</v>
      </c>
      <c r="J1974" s="199" t="s">
        <v>415</v>
      </c>
      <c r="K1974" s="201">
        <v>45306</v>
      </c>
      <c r="L1974" s="199" t="s">
        <v>3319</v>
      </c>
      <c r="M1974" s="199" t="s">
        <v>3320</v>
      </c>
    </row>
    <row r="1975" spans="1:13" ht="99.75">
      <c r="A1975" s="199">
        <v>1974</v>
      </c>
      <c r="B1975" s="199" t="s">
        <v>5285</v>
      </c>
      <c r="C1975" s="199" t="s">
        <v>34</v>
      </c>
      <c r="D1975" s="199" t="s">
        <v>35</v>
      </c>
      <c r="E1975" s="199">
        <v>2200</v>
      </c>
      <c r="F1975" s="199" t="s">
        <v>988</v>
      </c>
      <c r="G1975" s="199" t="s">
        <v>5247</v>
      </c>
      <c r="H1975" s="200">
        <v>39380</v>
      </c>
      <c r="I1975" s="199" t="s">
        <v>38</v>
      </c>
      <c r="J1975" s="199" t="s">
        <v>415</v>
      </c>
      <c r="K1975" s="201">
        <v>45306</v>
      </c>
      <c r="L1975" s="199" t="s">
        <v>3319</v>
      </c>
      <c r="M1975" s="199" t="s">
        <v>3320</v>
      </c>
    </row>
    <row r="1976" spans="1:13" ht="85.5">
      <c r="A1976" s="199">
        <v>1975</v>
      </c>
      <c r="B1976" s="199" t="s">
        <v>5286</v>
      </c>
      <c r="C1976" s="199" t="s">
        <v>34</v>
      </c>
      <c r="D1976" s="199" t="s">
        <v>35</v>
      </c>
      <c r="E1976" s="199">
        <v>50000</v>
      </c>
      <c r="F1976" s="199" t="s">
        <v>4678</v>
      </c>
      <c r="G1976" s="199" t="s">
        <v>5247</v>
      </c>
      <c r="H1976" s="200">
        <v>22500</v>
      </c>
      <c r="I1976" s="199" t="s">
        <v>38</v>
      </c>
      <c r="J1976" s="199" t="s">
        <v>415</v>
      </c>
      <c r="K1976" s="201">
        <v>45306</v>
      </c>
      <c r="L1976" s="199" t="s">
        <v>3319</v>
      </c>
      <c r="M1976" s="199" t="s">
        <v>3320</v>
      </c>
    </row>
    <row r="1977" spans="1:13" ht="99.75">
      <c r="A1977" s="199">
        <v>1976</v>
      </c>
      <c r="B1977" s="199" t="s">
        <v>5287</v>
      </c>
      <c r="C1977" s="199" t="s">
        <v>34</v>
      </c>
      <c r="D1977" s="199" t="s">
        <v>35</v>
      </c>
      <c r="E1977" s="199">
        <v>1500</v>
      </c>
      <c r="F1977" s="199" t="s">
        <v>988</v>
      </c>
      <c r="G1977" s="199" t="s">
        <v>5247</v>
      </c>
      <c r="H1977" s="200">
        <v>19635</v>
      </c>
      <c r="I1977" s="199" t="s">
        <v>38</v>
      </c>
      <c r="J1977" s="199" t="s">
        <v>415</v>
      </c>
      <c r="K1977" s="201">
        <v>45306</v>
      </c>
      <c r="L1977" s="199" t="s">
        <v>3319</v>
      </c>
      <c r="M1977" s="199" t="s">
        <v>3320</v>
      </c>
    </row>
    <row r="1978" spans="1:13" ht="85.5">
      <c r="A1978" s="199">
        <v>1977</v>
      </c>
      <c r="B1978" s="199" t="s">
        <v>5288</v>
      </c>
      <c r="C1978" s="199" t="s">
        <v>34</v>
      </c>
      <c r="D1978" s="199" t="s">
        <v>35</v>
      </c>
      <c r="E1978" s="199">
        <v>90000</v>
      </c>
      <c r="F1978" s="199" t="s">
        <v>4678</v>
      </c>
      <c r="G1978" s="199" t="s">
        <v>5247</v>
      </c>
      <c r="H1978" s="200">
        <v>33300</v>
      </c>
      <c r="I1978" s="199" t="s">
        <v>38</v>
      </c>
      <c r="J1978" s="199" t="s">
        <v>415</v>
      </c>
      <c r="K1978" s="201">
        <v>45306</v>
      </c>
      <c r="L1978" s="199" t="s">
        <v>3319</v>
      </c>
      <c r="M1978" s="199" t="s">
        <v>3320</v>
      </c>
    </row>
    <row r="1979" spans="1:13" ht="85.5">
      <c r="A1979" s="199">
        <v>1978</v>
      </c>
      <c r="B1979" s="199" t="s">
        <v>5289</v>
      </c>
      <c r="C1979" s="199" t="s">
        <v>34</v>
      </c>
      <c r="D1979" s="199" t="s">
        <v>35</v>
      </c>
      <c r="E1979" s="199">
        <v>400</v>
      </c>
      <c r="F1979" s="199" t="s">
        <v>988</v>
      </c>
      <c r="G1979" s="199" t="s">
        <v>5247</v>
      </c>
      <c r="H1979" s="200">
        <v>2240</v>
      </c>
      <c r="I1979" s="199" t="s">
        <v>38</v>
      </c>
      <c r="J1979" s="199" t="s">
        <v>415</v>
      </c>
      <c r="K1979" s="201">
        <v>45306</v>
      </c>
      <c r="L1979" s="199" t="s">
        <v>3319</v>
      </c>
      <c r="M1979" s="199" t="s">
        <v>3320</v>
      </c>
    </row>
    <row r="1980" spans="1:13" ht="85.5">
      <c r="A1980" s="199">
        <v>1979</v>
      </c>
      <c r="B1980" s="199" t="s">
        <v>5290</v>
      </c>
      <c r="C1980" s="199" t="s">
        <v>34</v>
      </c>
      <c r="D1980" s="199" t="s">
        <v>35</v>
      </c>
      <c r="E1980" s="199">
        <v>187500</v>
      </c>
      <c r="F1980" s="199" t="s">
        <v>4678</v>
      </c>
      <c r="G1980" s="199" t="s">
        <v>5247</v>
      </c>
      <c r="H1980" s="200">
        <v>65625</v>
      </c>
      <c r="I1980" s="199" t="s">
        <v>38</v>
      </c>
      <c r="J1980" s="199" t="s">
        <v>415</v>
      </c>
      <c r="K1980" s="201">
        <v>45306</v>
      </c>
      <c r="L1980" s="199" t="s">
        <v>3319</v>
      </c>
      <c r="M1980" s="199" t="s">
        <v>3320</v>
      </c>
    </row>
    <row r="1981" spans="1:13" ht="85.5">
      <c r="A1981" s="199">
        <v>1980</v>
      </c>
      <c r="B1981" s="199" t="s">
        <v>5290</v>
      </c>
      <c r="C1981" s="199" t="s">
        <v>34</v>
      </c>
      <c r="D1981" s="199" t="s">
        <v>35</v>
      </c>
      <c r="E1981" s="199">
        <v>62500</v>
      </c>
      <c r="F1981" s="199" t="s">
        <v>4678</v>
      </c>
      <c r="G1981" s="199" t="s">
        <v>5247</v>
      </c>
      <c r="H1981" s="200">
        <v>21875</v>
      </c>
      <c r="I1981" s="199" t="s">
        <v>38</v>
      </c>
      <c r="J1981" s="199" t="s">
        <v>415</v>
      </c>
      <c r="K1981" s="201">
        <v>45306</v>
      </c>
      <c r="L1981" s="199" t="s">
        <v>3319</v>
      </c>
      <c r="M1981" s="199" t="s">
        <v>3320</v>
      </c>
    </row>
    <row r="1982" spans="1:13" ht="85.5">
      <c r="A1982" s="199">
        <v>1981</v>
      </c>
      <c r="B1982" s="199" t="s">
        <v>5291</v>
      </c>
      <c r="C1982" s="199" t="s">
        <v>34</v>
      </c>
      <c r="D1982" s="199" t="s">
        <v>35</v>
      </c>
      <c r="E1982" s="199">
        <v>4000</v>
      </c>
      <c r="F1982" s="199" t="s">
        <v>988</v>
      </c>
      <c r="G1982" s="199" t="s">
        <v>5247</v>
      </c>
      <c r="H1982" s="200">
        <v>11000</v>
      </c>
      <c r="I1982" s="199" t="s">
        <v>38</v>
      </c>
      <c r="J1982" s="199" t="s">
        <v>415</v>
      </c>
      <c r="K1982" s="201">
        <v>45306</v>
      </c>
      <c r="L1982" s="199" t="s">
        <v>3319</v>
      </c>
      <c r="M1982" s="199" t="s">
        <v>3320</v>
      </c>
    </row>
    <row r="1983" spans="1:13" ht="85.5">
      <c r="A1983" s="199">
        <v>1982</v>
      </c>
      <c r="B1983" s="199" t="s">
        <v>5292</v>
      </c>
      <c r="C1983" s="199" t="s">
        <v>34</v>
      </c>
      <c r="D1983" s="199" t="s">
        <v>35</v>
      </c>
      <c r="E1983" s="199">
        <v>3600</v>
      </c>
      <c r="F1983" s="199" t="s">
        <v>4678</v>
      </c>
      <c r="G1983" s="199" t="s">
        <v>5247</v>
      </c>
      <c r="H1983" s="200">
        <v>4212</v>
      </c>
      <c r="I1983" s="199" t="s">
        <v>38</v>
      </c>
      <c r="J1983" s="199" t="s">
        <v>415</v>
      </c>
      <c r="K1983" s="201">
        <v>45306</v>
      </c>
      <c r="L1983" s="199" t="s">
        <v>3319</v>
      </c>
      <c r="M1983" s="199" t="s">
        <v>3320</v>
      </c>
    </row>
    <row r="1984" spans="1:13" ht="85.5">
      <c r="A1984" s="199">
        <v>1983</v>
      </c>
      <c r="B1984" s="199" t="s">
        <v>5293</v>
      </c>
      <c r="C1984" s="199" t="s">
        <v>34</v>
      </c>
      <c r="D1984" s="199" t="s">
        <v>35</v>
      </c>
      <c r="E1984" s="199">
        <v>150000</v>
      </c>
      <c r="F1984" s="199" t="s">
        <v>4678</v>
      </c>
      <c r="G1984" s="199" t="s">
        <v>5247</v>
      </c>
      <c r="H1984" s="200">
        <v>19500</v>
      </c>
      <c r="I1984" s="199" t="s">
        <v>38</v>
      </c>
      <c r="J1984" s="199" t="s">
        <v>415</v>
      </c>
      <c r="K1984" s="201">
        <v>45306</v>
      </c>
      <c r="L1984" s="199" t="s">
        <v>3319</v>
      </c>
      <c r="M1984" s="199" t="s">
        <v>3320</v>
      </c>
    </row>
    <row r="1985" spans="1:13" ht="85.5">
      <c r="A1985" s="199">
        <v>1984</v>
      </c>
      <c r="B1985" s="199" t="s">
        <v>5294</v>
      </c>
      <c r="C1985" s="199" t="s">
        <v>34</v>
      </c>
      <c r="D1985" s="199" t="s">
        <v>35</v>
      </c>
      <c r="E1985" s="199">
        <v>135000</v>
      </c>
      <c r="F1985" s="199" t="s">
        <v>4678</v>
      </c>
      <c r="G1985" s="199" t="s">
        <v>5247</v>
      </c>
      <c r="H1985" s="200">
        <v>62100</v>
      </c>
      <c r="I1985" s="199" t="s">
        <v>38</v>
      </c>
      <c r="J1985" s="199" t="s">
        <v>415</v>
      </c>
      <c r="K1985" s="201">
        <v>45306</v>
      </c>
      <c r="L1985" s="199" t="s">
        <v>3319</v>
      </c>
      <c r="M1985" s="199" t="s">
        <v>3320</v>
      </c>
    </row>
    <row r="1986" spans="1:13" ht="85.5">
      <c r="A1986" s="199">
        <v>1985</v>
      </c>
      <c r="B1986" s="199" t="s">
        <v>5294</v>
      </c>
      <c r="C1986" s="199" t="s">
        <v>34</v>
      </c>
      <c r="D1986" s="199" t="s">
        <v>35</v>
      </c>
      <c r="E1986" s="199">
        <v>45000</v>
      </c>
      <c r="F1986" s="199" t="s">
        <v>4678</v>
      </c>
      <c r="G1986" s="199" t="s">
        <v>5247</v>
      </c>
      <c r="H1986" s="200">
        <v>20700</v>
      </c>
      <c r="I1986" s="199" t="s">
        <v>38</v>
      </c>
      <c r="J1986" s="199" t="s">
        <v>415</v>
      </c>
      <c r="K1986" s="201">
        <v>45306</v>
      </c>
      <c r="L1986" s="199" t="s">
        <v>3319</v>
      </c>
      <c r="M1986" s="199" t="s">
        <v>3320</v>
      </c>
    </row>
    <row r="1987" spans="1:13" ht="85.5">
      <c r="A1987" s="199">
        <v>1986</v>
      </c>
      <c r="B1987" s="199" t="s">
        <v>5295</v>
      </c>
      <c r="C1987" s="199" t="s">
        <v>34</v>
      </c>
      <c r="D1987" s="199" t="s">
        <v>35</v>
      </c>
      <c r="E1987" s="199">
        <v>1000</v>
      </c>
      <c r="F1987" s="199" t="s">
        <v>988</v>
      </c>
      <c r="G1987" s="199" t="s">
        <v>5247</v>
      </c>
      <c r="H1987" s="200">
        <v>19200</v>
      </c>
      <c r="I1987" s="199" t="s">
        <v>38</v>
      </c>
      <c r="J1987" s="199" t="s">
        <v>415</v>
      </c>
      <c r="K1987" s="201">
        <v>45306</v>
      </c>
      <c r="L1987" s="199" t="s">
        <v>3319</v>
      </c>
      <c r="M1987" s="199" t="s">
        <v>3320</v>
      </c>
    </row>
    <row r="1988" spans="1:13" ht="85.5">
      <c r="A1988" s="199">
        <v>1987</v>
      </c>
      <c r="B1988" s="199" t="s">
        <v>5296</v>
      </c>
      <c r="C1988" s="199" t="s">
        <v>34</v>
      </c>
      <c r="D1988" s="199" t="s">
        <v>35</v>
      </c>
      <c r="E1988" s="199">
        <v>120000</v>
      </c>
      <c r="F1988" s="199" t="s">
        <v>4678</v>
      </c>
      <c r="G1988" s="199" t="s">
        <v>5247</v>
      </c>
      <c r="H1988" s="200">
        <v>40800</v>
      </c>
      <c r="I1988" s="199" t="s">
        <v>38</v>
      </c>
      <c r="J1988" s="199" t="s">
        <v>415</v>
      </c>
      <c r="K1988" s="201">
        <v>45306</v>
      </c>
      <c r="L1988" s="199" t="s">
        <v>3319</v>
      </c>
      <c r="M1988" s="199" t="s">
        <v>3320</v>
      </c>
    </row>
    <row r="1989" spans="1:13" ht="85.5">
      <c r="A1989" s="199">
        <v>1988</v>
      </c>
      <c r="B1989" s="199" t="s">
        <v>5297</v>
      </c>
      <c r="C1989" s="199" t="s">
        <v>34</v>
      </c>
      <c r="D1989" s="199" t="s">
        <v>35</v>
      </c>
      <c r="E1989" s="199">
        <v>90000</v>
      </c>
      <c r="F1989" s="199" t="s">
        <v>4678</v>
      </c>
      <c r="G1989" s="199" t="s">
        <v>5247</v>
      </c>
      <c r="H1989" s="200">
        <v>55800</v>
      </c>
      <c r="I1989" s="199" t="s">
        <v>38</v>
      </c>
      <c r="J1989" s="199" t="s">
        <v>415</v>
      </c>
      <c r="K1989" s="201">
        <v>45306</v>
      </c>
      <c r="L1989" s="199" t="s">
        <v>3319</v>
      </c>
      <c r="M1989" s="199" t="s">
        <v>3320</v>
      </c>
    </row>
    <row r="1990" spans="1:13" ht="85.5">
      <c r="A1990" s="199">
        <v>1989</v>
      </c>
      <c r="B1990" s="199" t="s">
        <v>5298</v>
      </c>
      <c r="C1990" s="199" t="s">
        <v>34</v>
      </c>
      <c r="D1990" s="199" t="s">
        <v>35</v>
      </c>
      <c r="E1990" s="199">
        <v>120000</v>
      </c>
      <c r="F1990" s="199" t="s">
        <v>4678</v>
      </c>
      <c r="G1990" s="199" t="s">
        <v>5247</v>
      </c>
      <c r="H1990" s="200">
        <v>49200</v>
      </c>
      <c r="I1990" s="199" t="s">
        <v>38</v>
      </c>
      <c r="J1990" s="199" t="s">
        <v>415</v>
      </c>
      <c r="K1990" s="201">
        <v>45306</v>
      </c>
      <c r="L1990" s="199" t="s">
        <v>3319</v>
      </c>
      <c r="M1990" s="199" t="s">
        <v>3320</v>
      </c>
    </row>
    <row r="1991" spans="1:13" ht="85.5">
      <c r="A1991" s="199">
        <v>1990</v>
      </c>
      <c r="B1991" s="199" t="s">
        <v>5299</v>
      </c>
      <c r="C1991" s="199" t="s">
        <v>34</v>
      </c>
      <c r="D1991" s="199" t="s">
        <v>35</v>
      </c>
      <c r="E1991" s="199">
        <v>90000</v>
      </c>
      <c r="F1991" s="199" t="s">
        <v>4678</v>
      </c>
      <c r="G1991" s="199" t="s">
        <v>5247</v>
      </c>
      <c r="H1991" s="200">
        <v>75600</v>
      </c>
      <c r="I1991" s="199" t="s">
        <v>38</v>
      </c>
      <c r="J1991" s="199" t="s">
        <v>415</v>
      </c>
      <c r="K1991" s="201">
        <v>45306</v>
      </c>
      <c r="L1991" s="199" t="s">
        <v>3319</v>
      </c>
      <c r="M1991" s="199" t="s">
        <v>3320</v>
      </c>
    </row>
    <row r="1992" spans="1:13" ht="85.5">
      <c r="A1992" s="199">
        <v>1991</v>
      </c>
      <c r="B1992" s="199" t="s">
        <v>5299</v>
      </c>
      <c r="C1992" s="199" t="s">
        <v>34</v>
      </c>
      <c r="D1992" s="199" t="s">
        <v>35</v>
      </c>
      <c r="E1992" s="199">
        <v>30000</v>
      </c>
      <c r="F1992" s="199" t="s">
        <v>4678</v>
      </c>
      <c r="G1992" s="199" t="s">
        <v>5247</v>
      </c>
      <c r="H1992" s="200">
        <v>25200</v>
      </c>
      <c r="I1992" s="199" t="s">
        <v>38</v>
      </c>
      <c r="J1992" s="199" t="s">
        <v>415</v>
      </c>
      <c r="K1992" s="201">
        <v>45306</v>
      </c>
      <c r="L1992" s="199" t="s">
        <v>3319</v>
      </c>
      <c r="M1992" s="199" t="s">
        <v>3320</v>
      </c>
    </row>
    <row r="1993" spans="1:13" ht="85.5">
      <c r="A1993" s="199">
        <v>1992</v>
      </c>
      <c r="B1993" s="199" t="s">
        <v>5300</v>
      </c>
      <c r="C1993" s="199" t="s">
        <v>34</v>
      </c>
      <c r="D1993" s="199" t="s">
        <v>35</v>
      </c>
      <c r="E1993" s="199">
        <v>120000</v>
      </c>
      <c r="F1993" s="199" t="s">
        <v>4678</v>
      </c>
      <c r="G1993" s="199" t="s">
        <v>5247</v>
      </c>
      <c r="H1993" s="200">
        <v>36000</v>
      </c>
      <c r="I1993" s="199" t="s">
        <v>38</v>
      </c>
      <c r="J1993" s="199" t="s">
        <v>415</v>
      </c>
      <c r="K1993" s="201">
        <v>45306</v>
      </c>
      <c r="L1993" s="199" t="s">
        <v>3319</v>
      </c>
      <c r="M1993" s="199" t="s">
        <v>3320</v>
      </c>
    </row>
    <row r="1994" spans="1:13" ht="85.5">
      <c r="A1994" s="199">
        <v>1993</v>
      </c>
      <c r="B1994" s="199" t="s">
        <v>5301</v>
      </c>
      <c r="C1994" s="199" t="s">
        <v>34</v>
      </c>
      <c r="D1994" s="199" t="s">
        <v>35</v>
      </c>
      <c r="E1994" s="199">
        <v>120000</v>
      </c>
      <c r="F1994" s="199" t="s">
        <v>4678</v>
      </c>
      <c r="G1994" s="199" t="s">
        <v>5247</v>
      </c>
      <c r="H1994" s="200">
        <v>60000</v>
      </c>
      <c r="I1994" s="199" t="s">
        <v>38</v>
      </c>
      <c r="J1994" s="199" t="s">
        <v>415</v>
      </c>
      <c r="K1994" s="201">
        <v>45306</v>
      </c>
      <c r="L1994" s="199" t="s">
        <v>3319</v>
      </c>
      <c r="M1994" s="199" t="s">
        <v>3320</v>
      </c>
    </row>
    <row r="1995" spans="1:13" ht="85.5">
      <c r="A1995" s="199">
        <v>1994</v>
      </c>
      <c r="B1995" s="199" t="s">
        <v>5302</v>
      </c>
      <c r="C1995" s="199" t="s">
        <v>34</v>
      </c>
      <c r="D1995" s="199" t="s">
        <v>35</v>
      </c>
      <c r="E1995" s="199">
        <v>40000</v>
      </c>
      <c r="F1995" s="199" t="s">
        <v>4678</v>
      </c>
      <c r="G1995" s="199" t="s">
        <v>5247</v>
      </c>
      <c r="H1995" s="200">
        <v>55200</v>
      </c>
      <c r="I1995" s="199" t="s">
        <v>38</v>
      </c>
      <c r="J1995" s="199" t="s">
        <v>415</v>
      </c>
      <c r="K1995" s="201">
        <v>45306</v>
      </c>
      <c r="L1995" s="199" t="s">
        <v>3319</v>
      </c>
      <c r="M1995" s="199" t="s">
        <v>3320</v>
      </c>
    </row>
    <row r="1996" spans="1:13" ht="85.5">
      <c r="A1996" s="199">
        <v>1995</v>
      </c>
      <c r="B1996" s="199" t="s">
        <v>5303</v>
      </c>
      <c r="C1996" s="199" t="s">
        <v>34</v>
      </c>
      <c r="D1996" s="199" t="s">
        <v>35</v>
      </c>
      <c r="E1996" s="199">
        <v>1800</v>
      </c>
      <c r="F1996" s="199" t="s">
        <v>988</v>
      </c>
      <c r="G1996" s="199" t="s">
        <v>5247</v>
      </c>
      <c r="H1996" s="200">
        <v>30834</v>
      </c>
      <c r="I1996" s="199" t="s">
        <v>38</v>
      </c>
      <c r="J1996" s="199" t="s">
        <v>415</v>
      </c>
      <c r="K1996" s="201">
        <v>45306</v>
      </c>
      <c r="L1996" s="199" t="s">
        <v>3319</v>
      </c>
      <c r="M1996" s="199" t="s">
        <v>3320</v>
      </c>
    </row>
    <row r="1997" spans="1:13" ht="85.5">
      <c r="A1997" s="199">
        <v>1996</v>
      </c>
      <c r="B1997" s="199" t="s">
        <v>5304</v>
      </c>
      <c r="C1997" s="199" t="s">
        <v>34</v>
      </c>
      <c r="D1997" s="199" t="s">
        <v>35</v>
      </c>
      <c r="E1997" s="199">
        <v>400</v>
      </c>
      <c r="F1997" s="199" t="s">
        <v>988</v>
      </c>
      <c r="G1997" s="199" t="s">
        <v>5247</v>
      </c>
      <c r="H1997" s="200">
        <v>10936</v>
      </c>
      <c r="I1997" s="199" t="s">
        <v>38</v>
      </c>
      <c r="J1997" s="199" t="s">
        <v>415</v>
      </c>
      <c r="K1997" s="201">
        <v>45306</v>
      </c>
      <c r="L1997" s="199" t="s">
        <v>3319</v>
      </c>
      <c r="M1997" s="199" t="s">
        <v>3320</v>
      </c>
    </row>
    <row r="1998" spans="1:13" ht="85.5">
      <c r="A1998" s="199">
        <v>1997</v>
      </c>
      <c r="B1998" s="199" t="s">
        <v>5305</v>
      </c>
      <c r="C1998" s="199" t="s">
        <v>34</v>
      </c>
      <c r="D1998" s="199" t="s">
        <v>35</v>
      </c>
      <c r="E1998" s="199">
        <v>12000</v>
      </c>
      <c r="F1998" s="199" t="s">
        <v>4678</v>
      </c>
      <c r="G1998" s="199" t="s">
        <v>5247</v>
      </c>
      <c r="H1998" s="200">
        <v>7560</v>
      </c>
      <c r="I1998" s="199" t="s">
        <v>38</v>
      </c>
      <c r="J1998" s="199" t="s">
        <v>415</v>
      </c>
      <c r="K1998" s="201">
        <v>45306</v>
      </c>
      <c r="L1998" s="199" t="s">
        <v>3319</v>
      </c>
      <c r="M1998" s="199" t="s">
        <v>3320</v>
      </c>
    </row>
    <row r="1999" spans="1:13" ht="85.5">
      <c r="A1999" s="199">
        <v>1998</v>
      </c>
      <c r="B1999" s="199" t="s">
        <v>5306</v>
      </c>
      <c r="C1999" s="199" t="s">
        <v>34</v>
      </c>
      <c r="D1999" s="199" t="s">
        <v>35</v>
      </c>
      <c r="E1999" s="199">
        <v>3200</v>
      </c>
      <c r="F1999" s="199" t="s">
        <v>5254</v>
      </c>
      <c r="G1999" s="199" t="s">
        <v>5247</v>
      </c>
      <c r="H1999" s="200">
        <v>16800</v>
      </c>
      <c r="I1999" s="199" t="s">
        <v>38</v>
      </c>
      <c r="J1999" s="199" t="s">
        <v>415</v>
      </c>
      <c r="K1999" s="201">
        <v>45306</v>
      </c>
      <c r="L1999" s="199" t="s">
        <v>3319</v>
      </c>
      <c r="M1999" s="199" t="s">
        <v>3320</v>
      </c>
    </row>
    <row r="2000" spans="1:13" ht="85.5">
      <c r="A2000" s="199">
        <v>1999</v>
      </c>
      <c r="B2000" s="199" t="s">
        <v>5307</v>
      </c>
      <c r="C2000" s="199" t="s">
        <v>34</v>
      </c>
      <c r="D2000" s="199" t="s">
        <v>35</v>
      </c>
      <c r="E2000" s="199">
        <v>187500</v>
      </c>
      <c r="F2000" s="199" t="s">
        <v>4678</v>
      </c>
      <c r="G2000" s="199" t="s">
        <v>5247</v>
      </c>
      <c r="H2000" s="200">
        <v>106875</v>
      </c>
      <c r="I2000" s="199" t="s">
        <v>38</v>
      </c>
      <c r="J2000" s="199" t="s">
        <v>415</v>
      </c>
      <c r="K2000" s="201">
        <v>45306</v>
      </c>
      <c r="L2000" s="199" t="s">
        <v>3319</v>
      </c>
      <c r="M2000" s="199" t="s">
        <v>3320</v>
      </c>
    </row>
    <row r="2001" spans="1:13" ht="85.5">
      <c r="A2001" s="199">
        <v>2000</v>
      </c>
      <c r="B2001" s="199" t="s">
        <v>5307</v>
      </c>
      <c r="C2001" s="199" t="s">
        <v>34</v>
      </c>
      <c r="D2001" s="199" t="s">
        <v>35</v>
      </c>
      <c r="E2001" s="199">
        <v>62500</v>
      </c>
      <c r="F2001" s="199" t="s">
        <v>4678</v>
      </c>
      <c r="G2001" s="199" t="s">
        <v>5247</v>
      </c>
      <c r="H2001" s="200">
        <v>35625</v>
      </c>
      <c r="I2001" s="199" t="s">
        <v>38</v>
      </c>
      <c r="J2001" s="199" t="s">
        <v>415</v>
      </c>
      <c r="K2001" s="201">
        <v>45306</v>
      </c>
      <c r="L2001" s="199" t="s">
        <v>3319</v>
      </c>
      <c r="M2001" s="199" t="s">
        <v>3320</v>
      </c>
    </row>
    <row r="2002" spans="1:13" ht="85.5">
      <c r="A2002" s="199">
        <v>2001</v>
      </c>
      <c r="B2002" s="199" t="s">
        <v>5308</v>
      </c>
      <c r="C2002" s="199" t="s">
        <v>34</v>
      </c>
      <c r="D2002" s="199" t="s">
        <v>35</v>
      </c>
      <c r="E2002" s="199">
        <v>18000</v>
      </c>
      <c r="F2002" s="199" t="s">
        <v>4678</v>
      </c>
      <c r="G2002" s="199" t="s">
        <v>5247</v>
      </c>
      <c r="H2002" s="200">
        <v>23760</v>
      </c>
      <c r="I2002" s="199" t="s">
        <v>38</v>
      </c>
      <c r="J2002" s="199" t="s">
        <v>415</v>
      </c>
      <c r="K2002" s="201">
        <v>45306</v>
      </c>
      <c r="L2002" s="199" t="s">
        <v>3319</v>
      </c>
      <c r="M2002" s="199" t="s">
        <v>3320</v>
      </c>
    </row>
    <row r="2003" spans="1:13" ht="85.5">
      <c r="A2003" s="199">
        <v>2002</v>
      </c>
      <c r="B2003" s="199" t="s">
        <v>5309</v>
      </c>
      <c r="C2003" s="199" t="s">
        <v>34</v>
      </c>
      <c r="D2003" s="199" t="s">
        <v>35</v>
      </c>
      <c r="E2003" s="199">
        <v>1200</v>
      </c>
      <c r="F2003" s="199" t="s">
        <v>4678</v>
      </c>
      <c r="G2003" s="199" t="s">
        <v>5247</v>
      </c>
      <c r="H2003" s="200">
        <v>540</v>
      </c>
      <c r="I2003" s="199" t="s">
        <v>38</v>
      </c>
      <c r="J2003" s="199" t="s">
        <v>415</v>
      </c>
      <c r="K2003" s="201">
        <v>45306</v>
      </c>
      <c r="L2003" s="199" t="s">
        <v>3319</v>
      </c>
      <c r="M2003" s="199" t="s">
        <v>3320</v>
      </c>
    </row>
    <row r="2004" spans="1:13" ht="85.5">
      <c r="A2004" s="199">
        <v>2003</v>
      </c>
      <c r="B2004" s="199" t="s">
        <v>5310</v>
      </c>
      <c r="C2004" s="199" t="s">
        <v>34</v>
      </c>
      <c r="D2004" s="199" t="s">
        <v>35</v>
      </c>
      <c r="E2004" s="199">
        <v>90000</v>
      </c>
      <c r="F2004" s="199" t="s">
        <v>4678</v>
      </c>
      <c r="G2004" s="199" t="s">
        <v>5247</v>
      </c>
      <c r="H2004" s="200">
        <v>58500</v>
      </c>
      <c r="I2004" s="199" t="s">
        <v>38</v>
      </c>
      <c r="J2004" s="199" t="s">
        <v>415</v>
      </c>
      <c r="K2004" s="201">
        <v>45306</v>
      </c>
      <c r="L2004" s="199" t="s">
        <v>3319</v>
      </c>
      <c r="M2004" s="199" t="s">
        <v>3320</v>
      </c>
    </row>
    <row r="2005" spans="1:13" ht="128.25">
      <c r="A2005" s="199">
        <v>2004</v>
      </c>
      <c r="B2005" s="199" t="s">
        <v>5311</v>
      </c>
      <c r="C2005" s="199" t="s">
        <v>34</v>
      </c>
      <c r="D2005" s="199" t="s">
        <v>35</v>
      </c>
      <c r="E2005" s="199">
        <v>320</v>
      </c>
      <c r="F2005" s="199" t="s">
        <v>988</v>
      </c>
      <c r="G2005" s="199" t="s">
        <v>5247</v>
      </c>
      <c r="H2005" s="200">
        <v>10422.4</v>
      </c>
      <c r="I2005" s="199" t="s">
        <v>38</v>
      </c>
      <c r="J2005" s="199" t="s">
        <v>415</v>
      </c>
      <c r="K2005" s="201">
        <v>45306</v>
      </c>
      <c r="L2005" s="199" t="s">
        <v>3319</v>
      </c>
      <c r="M2005" s="199" t="s">
        <v>3320</v>
      </c>
    </row>
    <row r="2006" spans="1:13" ht="85.5">
      <c r="A2006" s="199">
        <v>2005</v>
      </c>
      <c r="B2006" s="199" t="s">
        <v>5312</v>
      </c>
      <c r="C2006" s="199" t="s">
        <v>34</v>
      </c>
      <c r="D2006" s="199" t="s">
        <v>35</v>
      </c>
      <c r="E2006" s="199">
        <v>9000</v>
      </c>
      <c r="F2006" s="199" t="s">
        <v>4678</v>
      </c>
      <c r="G2006" s="199" t="s">
        <v>5247</v>
      </c>
      <c r="H2006" s="200">
        <v>61560</v>
      </c>
      <c r="I2006" s="199" t="s">
        <v>38</v>
      </c>
      <c r="J2006" s="199" t="s">
        <v>415</v>
      </c>
      <c r="K2006" s="201">
        <v>45306</v>
      </c>
      <c r="L2006" s="199" t="s">
        <v>3319</v>
      </c>
      <c r="M2006" s="199" t="s">
        <v>3320</v>
      </c>
    </row>
    <row r="2007" spans="1:13" ht="85.5">
      <c r="A2007" s="199">
        <v>2006</v>
      </c>
      <c r="B2007" s="199" t="s">
        <v>5312</v>
      </c>
      <c r="C2007" s="199" t="s">
        <v>34</v>
      </c>
      <c r="D2007" s="199" t="s">
        <v>35</v>
      </c>
      <c r="E2007" s="199">
        <v>3000</v>
      </c>
      <c r="F2007" s="199" t="s">
        <v>4678</v>
      </c>
      <c r="G2007" s="199" t="s">
        <v>5247</v>
      </c>
      <c r="H2007" s="200">
        <v>20520</v>
      </c>
      <c r="I2007" s="199" t="s">
        <v>38</v>
      </c>
      <c r="J2007" s="199" t="s">
        <v>415</v>
      </c>
      <c r="K2007" s="201">
        <v>45306</v>
      </c>
      <c r="L2007" s="199" t="s">
        <v>3319</v>
      </c>
      <c r="M2007" s="199" t="s">
        <v>3320</v>
      </c>
    </row>
    <row r="2008" spans="1:13" ht="85.5">
      <c r="A2008" s="199">
        <v>2007</v>
      </c>
      <c r="B2008" s="199" t="s">
        <v>5313</v>
      </c>
      <c r="C2008" s="199" t="s">
        <v>34</v>
      </c>
      <c r="D2008" s="199" t="s">
        <v>35</v>
      </c>
      <c r="E2008" s="199">
        <v>3600</v>
      </c>
      <c r="F2008" s="199" t="s">
        <v>5260</v>
      </c>
      <c r="G2008" s="199" t="s">
        <v>5247</v>
      </c>
      <c r="H2008" s="200">
        <v>9792</v>
      </c>
      <c r="I2008" s="199" t="s">
        <v>38</v>
      </c>
      <c r="J2008" s="199" t="s">
        <v>415</v>
      </c>
      <c r="K2008" s="201">
        <v>45306</v>
      </c>
      <c r="L2008" s="199" t="s">
        <v>3319</v>
      </c>
      <c r="M2008" s="199" t="s">
        <v>3320</v>
      </c>
    </row>
    <row r="2009" spans="1:13" ht="85.5">
      <c r="A2009" s="199">
        <v>2008</v>
      </c>
      <c r="B2009" s="199" t="s">
        <v>5314</v>
      </c>
      <c r="C2009" s="199" t="s">
        <v>34</v>
      </c>
      <c r="D2009" s="199" t="s">
        <v>35</v>
      </c>
      <c r="E2009" s="199">
        <v>30000</v>
      </c>
      <c r="F2009" s="199" t="s">
        <v>4678</v>
      </c>
      <c r="G2009" s="199" t="s">
        <v>5247</v>
      </c>
      <c r="H2009" s="200">
        <v>35100</v>
      </c>
      <c r="I2009" s="199" t="s">
        <v>38</v>
      </c>
      <c r="J2009" s="199" t="s">
        <v>415</v>
      </c>
      <c r="K2009" s="201">
        <v>45306</v>
      </c>
      <c r="L2009" s="199" t="s">
        <v>3319</v>
      </c>
      <c r="M2009" s="199" t="s">
        <v>3320</v>
      </c>
    </row>
    <row r="2010" spans="1:13" ht="85.5">
      <c r="A2010" s="199">
        <v>2009</v>
      </c>
      <c r="B2010" s="199" t="s">
        <v>5315</v>
      </c>
      <c r="C2010" s="199" t="s">
        <v>34</v>
      </c>
      <c r="D2010" s="199" t="s">
        <v>35</v>
      </c>
      <c r="E2010" s="199">
        <v>70000</v>
      </c>
      <c r="F2010" s="199" t="s">
        <v>4678</v>
      </c>
      <c r="G2010" s="199" t="s">
        <v>5247</v>
      </c>
      <c r="H2010" s="200">
        <v>12600</v>
      </c>
      <c r="I2010" s="199" t="s">
        <v>38</v>
      </c>
      <c r="J2010" s="199" t="s">
        <v>415</v>
      </c>
      <c r="K2010" s="201">
        <v>45306</v>
      </c>
      <c r="L2010" s="199" t="s">
        <v>3319</v>
      </c>
      <c r="M2010" s="199" t="s">
        <v>3320</v>
      </c>
    </row>
    <row r="2011" spans="1:13" ht="85.5">
      <c r="A2011" s="199">
        <v>2010</v>
      </c>
      <c r="B2011" s="199" t="s">
        <v>5316</v>
      </c>
      <c r="C2011" s="199" t="s">
        <v>34</v>
      </c>
      <c r="D2011" s="199" t="s">
        <v>35</v>
      </c>
      <c r="E2011" s="199">
        <v>200000</v>
      </c>
      <c r="F2011" s="199" t="s">
        <v>4678</v>
      </c>
      <c r="G2011" s="199" t="s">
        <v>5247</v>
      </c>
      <c r="H2011" s="200">
        <v>44000</v>
      </c>
      <c r="I2011" s="199" t="s">
        <v>38</v>
      </c>
      <c r="J2011" s="199" t="s">
        <v>415</v>
      </c>
      <c r="K2011" s="201">
        <v>45306</v>
      </c>
      <c r="L2011" s="199" t="s">
        <v>3319</v>
      </c>
      <c r="M2011" s="199" t="s">
        <v>3320</v>
      </c>
    </row>
    <row r="2012" spans="1:13" ht="85.5">
      <c r="A2012" s="199">
        <v>2011</v>
      </c>
      <c r="B2012" s="199" t="s">
        <v>5317</v>
      </c>
      <c r="C2012" s="199" t="s">
        <v>34</v>
      </c>
      <c r="D2012" s="199" t="s">
        <v>35</v>
      </c>
      <c r="E2012" s="199">
        <v>157500</v>
      </c>
      <c r="F2012" s="199" t="s">
        <v>4678</v>
      </c>
      <c r="G2012" s="199" t="s">
        <v>5247</v>
      </c>
      <c r="H2012" s="200">
        <v>250425</v>
      </c>
      <c r="I2012" s="199" t="s">
        <v>38</v>
      </c>
      <c r="J2012" s="199" t="s">
        <v>415</v>
      </c>
      <c r="K2012" s="201">
        <v>45306</v>
      </c>
      <c r="L2012" s="199" t="s">
        <v>3319</v>
      </c>
      <c r="M2012" s="199" t="s">
        <v>3320</v>
      </c>
    </row>
    <row r="2013" spans="1:13" ht="85.5">
      <c r="A2013" s="199">
        <v>2012</v>
      </c>
      <c r="B2013" s="199" t="s">
        <v>5317</v>
      </c>
      <c r="C2013" s="199" t="s">
        <v>34</v>
      </c>
      <c r="D2013" s="199" t="s">
        <v>35</v>
      </c>
      <c r="E2013" s="199">
        <v>52500</v>
      </c>
      <c r="F2013" s="199" t="s">
        <v>4678</v>
      </c>
      <c r="G2013" s="199" t="s">
        <v>5247</v>
      </c>
      <c r="H2013" s="200">
        <v>83475</v>
      </c>
      <c r="I2013" s="199" t="s">
        <v>38</v>
      </c>
      <c r="J2013" s="199" t="s">
        <v>415</v>
      </c>
      <c r="K2013" s="201">
        <v>45306</v>
      </c>
      <c r="L2013" s="199" t="s">
        <v>3319</v>
      </c>
      <c r="M2013" s="199" t="s">
        <v>3320</v>
      </c>
    </row>
    <row r="2014" spans="1:13" ht="85.5">
      <c r="A2014" s="199">
        <v>2013</v>
      </c>
      <c r="B2014" s="199" t="s">
        <v>5318</v>
      </c>
      <c r="C2014" s="199" t="s">
        <v>34</v>
      </c>
      <c r="D2014" s="199" t="s">
        <v>35</v>
      </c>
      <c r="E2014" s="199">
        <v>400</v>
      </c>
      <c r="F2014" s="199" t="s">
        <v>5250</v>
      </c>
      <c r="G2014" s="199" t="s">
        <v>5247</v>
      </c>
      <c r="H2014" s="200">
        <v>204</v>
      </c>
      <c r="I2014" s="199" t="s">
        <v>38</v>
      </c>
      <c r="J2014" s="199" t="s">
        <v>415</v>
      </c>
      <c r="K2014" s="201">
        <v>45306</v>
      </c>
      <c r="L2014" s="199" t="s">
        <v>3319</v>
      </c>
      <c r="M2014" s="199" t="s">
        <v>3320</v>
      </c>
    </row>
    <row r="2015" spans="1:13" ht="85.5">
      <c r="A2015" s="199">
        <v>2014</v>
      </c>
      <c r="B2015" s="199" t="s">
        <v>5319</v>
      </c>
      <c r="C2015" s="199" t="s">
        <v>34</v>
      </c>
      <c r="D2015" s="199" t="s">
        <v>35</v>
      </c>
      <c r="E2015" s="199">
        <v>400</v>
      </c>
      <c r="F2015" s="199" t="s">
        <v>5250</v>
      </c>
      <c r="G2015" s="199" t="s">
        <v>5247</v>
      </c>
      <c r="H2015" s="200">
        <v>332</v>
      </c>
      <c r="I2015" s="199" t="s">
        <v>38</v>
      </c>
      <c r="J2015" s="199" t="s">
        <v>415</v>
      </c>
      <c r="K2015" s="201">
        <v>45306</v>
      </c>
      <c r="L2015" s="199" t="s">
        <v>3319</v>
      </c>
      <c r="M2015" s="199" t="s">
        <v>3320</v>
      </c>
    </row>
    <row r="2016" spans="1:13" ht="85.5">
      <c r="A2016" s="199">
        <v>2015</v>
      </c>
      <c r="B2016" s="199" t="s">
        <v>5320</v>
      </c>
      <c r="C2016" s="199" t="s">
        <v>34</v>
      </c>
      <c r="D2016" s="199" t="s">
        <v>35</v>
      </c>
      <c r="E2016" s="199">
        <v>12000</v>
      </c>
      <c r="F2016" s="199" t="s">
        <v>988</v>
      </c>
      <c r="G2016" s="199" t="s">
        <v>5247</v>
      </c>
      <c r="H2016" s="200">
        <v>65040</v>
      </c>
      <c r="I2016" s="199" t="s">
        <v>38</v>
      </c>
      <c r="J2016" s="199" t="s">
        <v>415</v>
      </c>
      <c r="K2016" s="201">
        <v>45306</v>
      </c>
      <c r="L2016" s="199" t="s">
        <v>3319</v>
      </c>
      <c r="M2016" s="199" t="s">
        <v>3320</v>
      </c>
    </row>
    <row r="2017" spans="1:13" ht="85.5">
      <c r="A2017" s="199">
        <v>2016</v>
      </c>
      <c r="B2017" s="199" t="s">
        <v>5321</v>
      </c>
      <c r="C2017" s="199" t="s">
        <v>34</v>
      </c>
      <c r="D2017" s="199" t="s">
        <v>35</v>
      </c>
      <c r="E2017" s="199">
        <v>400</v>
      </c>
      <c r="F2017" s="199" t="s">
        <v>5250</v>
      </c>
      <c r="G2017" s="199" t="s">
        <v>5247</v>
      </c>
      <c r="H2017" s="200">
        <v>360</v>
      </c>
      <c r="I2017" s="199" t="s">
        <v>38</v>
      </c>
      <c r="J2017" s="199" t="s">
        <v>415</v>
      </c>
      <c r="K2017" s="201">
        <v>45306</v>
      </c>
      <c r="L2017" s="199" t="s">
        <v>3319</v>
      </c>
      <c r="M2017" s="199" t="s">
        <v>3320</v>
      </c>
    </row>
    <row r="2018" spans="1:13" ht="85.5">
      <c r="A2018" s="199">
        <v>2017</v>
      </c>
      <c r="B2018" s="199" t="s">
        <v>5322</v>
      </c>
      <c r="C2018" s="199" t="s">
        <v>34</v>
      </c>
      <c r="D2018" s="199" t="s">
        <v>35</v>
      </c>
      <c r="E2018" s="199">
        <v>120</v>
      </c>
      <c r="F2018" s="199" t="s">
        <v>988</v>
      </c>
      <c r="G2018" s="199" t="s">
        <v>5247</v>
      </c>
      <c r="H2018" s="200">
        <v>1257.5999999999999</v>
      </c>
      <c r="I2018" s="199" t="s">
        <v>38</v>
      </c>
      <c r="J2018" s="199" t="s">
        <v>415</v>
      </c>
      <c r="K2018" s="201">
        <v>45306</v>
      </c>
      <c r="L2018" s="199" t="s">
        <v>3319</v>
      </c>
      <c r="M2018" s="199" t="s">
        <v>3320</v>
      </c>
    </row>
    <row r="2019" spans="1:13" ht="85.5">
      <c r="A2019" s="199">
        <v>2018</v>
      </c>
      <c r="B2019" s="199" t="s">
        <v>5323</v>
      </c>
      <c r="C2019" s="199" t="s">
        <v>34</v>
      </c>
      <c r="D2019" s="199" t="s">
        <v>35</v>
      </c>
      <c r="E2019" s="199">
        <v>120</v>
      </c>
      <c r="F2019" s="199" t="s">
        <v>988</v>
      </c>
      <c r="G2019" s="199" t="s">
        <v>5247</v>
      </c>
      <c r="H2019" s="200">
        <v>1272</v>
      </c>
      <c r="I2019" s="199" t="s">
        <v>38</v>
      </c>
      <c r="J2019" s="199" t="s">
        <v>415</v>
      </c>
      <c r="K2019" s="201">
        <v>45306</v>
      </c>
      <c r="L2019" s="199" t="s">
        <v>3319</v>
      </c>
      <c r="M2019" s="199" t="s">
        <v>3320</v>
      </c>
    </row>
    <row r="2020" spans="1:13" ht="85.5">
      <c r="A2020" s="199">
        <v>2019</v>
      </c>
      <c r="B2020" s="199" t="s">
        <v>5324</v>
      </c>
      <c r="C2020" s="199" t="s">
        <v>34</v>
      </c>
      <c r="D2020" s="199" t="s">
        <v>35</v>
      </c>
      <c r="E2020" s="199">
        <v>52000</v>
      </c>
      <c r="F2020" s="199" t="s">
        <v>4678</v>
      </c>
      <c r="G2020" s="199" t="s">
        <v>5247</v>
      </c>
      <c r="H2020" s="200">
        <v>26000</v>
      </c>
      <c r="I2020" s="199" t="s">
        <v>38</v>
      </c>
      <c r="J2020" s="199" t="s">
        <v>415</v>
      </c>
      <c r="K2020" s="201">
        <v>45306</v>
      </c>
      <c r="L2020" s="199" t="s">
        <v>3319</v>
      </c>
      <c r="M2020" s="199" t="s">
        <v>3320</v>
      </c>
    </row>
    <row r="2021" spans="1:13" ht="85.5">
      <c r="A2021" s="199">
        <v>2020</v>
      </c>
      <c r="B2021" s="199" t="s">
        <v>5325</v>
      </c>
      <c r="C2021" s="199" t="s">
        <v>34</v>
      </c>
      <c r="D2021" s="199" t="s">
        <v>35</v>
      </c>
      <c r="E2021" s="199">
        <v>52000</v>
      </c>
      <c r="F2021" s="199" t="s">
        <v>4678</v>
      </c>
      <c r="G2021" s="199" t="s">
        <v>5247</v>
      </c>
      <c r="H2021" s="200">
        <v>20800</v>
      </c>
      <c r="I2021" s="199" t="s">
        <v>38</v>
      </c>
      <c r="J2021" s="199" t="s">
        <v>415</v>
      </c>
      <c r="K2021" s="201">
        <v>45306</v>
      </c>
      <c r="L2021" s="199" t="s">
        <v>3319</v>
      </c>
      <c r="M2021" s="199" t="s">
        <v>3320</v>
      </c>
    </row>
    <row r="2022" spans="1:13" ht="85.5">
      <c r="A2022" s="199">
        <v>2021</v>
      </c>
      <c r="B2022" s="199" t="s">
        <v>5326</v>
      </c>
      <c r="C2022" s="199" t="s">
        <v>34</v>
      </c>
      <c r="D2022" s="199" t="s">
        <v>35</v>
      </c>
      <c r="E2022" s="199">
        <v>3900</v>
      </c>
      <c r="F2022" s="199" t="s">
        <v>5254</v>
      </c>
      <c r="G2022" s="199" t="s">
        <v>5247</v>
      </c>
      <c r="H2022" s="200">
        <v>147303</v>
      </c>
      <c r="I2022" s="199" t="s">
        <v>38</v>
      </c>
      <c r="J2022" s="199" t="s">
        <v>415</v>
      </c>
      <c r="K2022" s="201">
        <v>45306</v>
      </c>
      <c r="L2022" s="199" t="s">
        <v>3319</v>
      </c>
      <c r="M2022" s="199" t="s">
        <v>3320</v>
      </c>
    </row>
    <row r="2023" spans="1:13" ht="85.5">
      <c r="A2023" s="199">
        <v>2022</v>
      </c>
      <c r="B2023" s="199" t="s">
        <v>5326</v>
      </c>
      <c r="C2023" s="199" t="s">
        <v>34</v>
      </c>
      <c r="D2023" s="199" t="s">
        <v>35</v>
      </c>
      <c r="E2023" s="199">
        <v>1300</v>
      </c>
      <c r="F2023" s="199" t="s">
        <v>5254</v>
      </c>
      <c r="G2023" s="199" t="s">
        <v>5247</v>
      </c>
      <c r="H2023" s="200">
        <v>49101</v>
      </c>
      <c r="I2023" s="199" t="s">
        <v>38</v>
      </c>
      <c r="J2023" s="199" t="s">
        <v>415</v>
      </c>
      <c r="K2023" s="201">
        <v>45306</v>
      </c>
      <c r="L2023" s="199" t="s">
        <v>3319</v>
      </c>
      <c r="M2023" s="199" t="s">
        <v>3320</v>
      </c>
    </row>
    <row r="2024" spans="1:13" ht="85.5">
      <c r="A2024" s="199">
        <v>2023</v>
      </c>
      <c r="B2024" s="199" t="s">
        <v>5327</v>
      </c>
      <c r="C2024" s="199" t="s">
        <v>34</v>
      </c>
      <c r="D2024" s="199" t="s">
        <v>35</v>
      </c>
      <c r="E2024" s="199">
        <v>4600</v>
      </c>
      <c r="F2024" s="199" t="s">
        <v>988</v>
      </c>
      <c r="G2024" s="199" t="s">
        <v>5247</v>
      </c>
      <c r="H2024" s="200">
        <v>45540</v>
      </c>
      <c r="I2024" s="199" t="s">
        <v>38</v>
      </c>
      <c r="J2024" s="199" t="s">
        <v>415</v>
      </c>
      <c r="K2024" s="201">
        <v>45306</v>
      </c>
      <c r="L2024" s="199" t="s">
        <v>3319</v>
      </c>
      <c r="M2024" s="199" t="s">
        <v>3320</v>
      </c>
    </row>
    <row r="2025" spans="1:13" ht="85.5">
      <c r="A2025" s="199">
        <v>2024</v>
      </c>
      <c r="B2025" s="199" t="s">
        <v>5328</v>
      </c>
      <c r="C2025" s="199" t="s">
        <v>34</v>
      </c>
      <c r="D2025" s="199" t="s">
        <v>35</v>
      </c>
      <c r="E2025" s="199">
        <v>4600</v>
      </c>
      <c r="F2025" s="199" t="s">
        <v>988</v>
      </c>
      <c r="G2025" s="199" t="s">
        <v>5247</v>
      </c>
      <c r="H2025" s="200">
        <v>51336</v>
      </c>
      <c r="I2025" s="199" t="s">
        <v>38</v>
      </c>
      <c r="J2025" s="199" t="s">
        <v>415</v>
      </c>
      <c r="K2025" s="201">
        <v>45306</v>
      </c>
      <c r="L2025" s="199" t="s">
        <v>3319</v>
      </c>
      <c r="M2025" s="199" t="s">
        <v>3320</v>
      </c>
    </row>
    <row r="2026" spans="1:13" ht="85.5">
      <c r="A2026" s="199">
        <v>2025</v>
      </c>
      <c r="B2026" s="199" t="s">
        <v>5329</v>
      </c>
      <c r="C2026" s="199" t="s">
        <v>34</v>
      </c>
      <c r="D2026" s="199" t="s">
        <v>35</v>
      </c>
      <c r="E2026" s="199">
        <v>400</v>
      </c>
      <c r="F2026" s="199" t="s">
        <v>5250</v>
      </c>
      <c r="G2026" s="199" t="s">
        <v>5247</v>
      </c>
      <c r="H2026" s="200">
        <v>984</v>
      </c>
      <c r="I2026" s="199" t="s">
        <v>38</v>
      </c>
      <c r="J2026" s="199" t="s">
        <v>415</v>
      </c>
      <c r="K2026" s="201">
        <v>45306</v>
      </c>
      <c r="L2026" s="199" t="s">
        <v>3319</v>
      </c>
      <c r="M2026" s="199" t="s">
        <v>3320</v>
      </c>
    </row>
    <row r="2027" spans="1:13" ht="85.5">
      <c r="A2027" s="199">
        <v>2026</v>
      </c>
      <c r="B2027" s="199" t="s">
        <v>5330</v>
      </c>
      <c r="C2027" s="199" t="s">
        <v>34</v>
      </c>
      <c r="D2027" s="199" t="s">
        <v>35</v>
      </c>
      <c r="E2027" s="199">
        <v>3200</v>
      </c>
      <c r="F2027" s="199" t="s">
        <v>988</v>
      </c>
      <c r="G2027" s="199" t="s">
        <v>5247</v>
      </c>
      <c r="H2027" s="200">
        <v>15392</v>
      </c>
      <c r="I2027" s="199" t="s">
        <v>38</v>
      </c>
      <c r="J2027" s="199" t="s">
        <v>415</v>
      </c>
      <c r="K2027" s="201">
        <v>45306</v>
      </c>
      <c r="L2027" s="199" t="s">
        <v>3319</v>
      </c>
      <c r="M2027" s="199" t="s">
        <v>3320</v>
      </c>
    </row>
    <row r="2028" spans="1:13" ht="85.5">
      <c r="A2028" s="199">
        <v>2027</v>
      </c>
      <c r="B2028" s="199" t="s">
        <v>5331</v>
      </c>
      <c r="C2028" s="199" t="s">
        <v>34</v>
      </c>
      <c r="D2028" s="199" t="s">
        <v>35</v>
      </c>
      <c r="E2028" s="199">
        <v>9000</v>
      </c>
      <c r="F2028" s="199" t="s">
        <v>5254</v>
      </c>
      <c r="G2028" s="199" t="s">
        <v>5247</v>
      </c>
      <c r="H2028" s="200">
        <v>24210</v>
      </c>
      <c r="I2028" s="199" t="s">
        <v>38</v>
      </c>
      <c r="J2028" s="199" t="s">
        <v>415</v>
      </c>
      <c r="K2028" s="201">
        <v>45306</v>
      </c>
      <c r="L2028" s="199" t="s">
        <v>3319</v>
      </c>
      <c r="M2028" s="199" t="s">
        <v>3320</v>
      </c>
    </row>
    <row r="2029" spans="1:13" ht="85.5">
      <c r="A2029" s="199">
        <v>2028</v>
      </c>
      <c r="B2029" s="199" t="s">
        <v>5332</v>
      </c>
      <c r="C2029" s="199" t="s">
        <v>34</v>
      </c>
      <c r="D2029" s="199" t="s">
        <v>35</v>
      </c>
      <c r="E2029" s="199">
        <v>800</v>
      </c>
      <c r="F2029" s="199" t="s">
        <v>5250</v>
      </c>
      <c r="G2029" s="199" t="s">
        <v>5247</v>
      </c>
      <c r="H2029" s="200">
        <v>2392</v>
      </c>
      <c r="I2029" s="199" t="s">
        <v>38</v>
      </c>
      <c r="J2029" s="199" t="s">
        <v>415</v>
      </c>
      <c r="K2029" s="201">
        <v>45306</v>
      </c>
      <c r="L2029" s="199" t="s">
        <v>3319</v>
      </c>
      <c r="M2029" s="199" t="s">
        <v>3320</v>
      </c>
    </row>
    <row r="2030" spans="1:13" ht="85.5">
      <c r="A2030" s="199">
        <v>2029</v>
      </c>
      <c r="B2030" s="199" t="s">
        <v>5333</v>
      </c>
      <c r="C2030" s="199" t="s">
        <v>34</v>
      </c>
      <c r="D2030" s="199" t="s">
        <v>35</v>
      </c>
      <c r="E2030" s="199">
        <v>3600</v>
      </c>
      <c r="F2030" s="199" t="s">
        <v>4678</v>
      </c>
      <c r="G2030" s="199" t="s">
        <v>5247</v>
      </c>
      <c r="H2030" s="200">
        <v>2520</v>
      </c>
      <c r="I2030" s="199" t="s">
        <v>38</v>
      </c>
      <c r="J2030" s="199" t="s">
        <v>415</v>
      </c>
      <c r="K2030" s="201">
        <v>45306</v>
      </c>
      <c r="L2030" s="199" t="s">
        <v>3319</v>
      </c>
      <c r="M2030" s="199" t="s">
        <v>3320</v>
      </c>
    </row>
    <row r="2031" spans="1:13" ht="85.5">
      <c r="A2031" s="199">
        <v>2030</v>
      </c>
      <c r="B2031" s="199" t="s">
        <v>5334</v>
      </c>
      <c r="C2031" s="199" t="s">
        <v>34</v>
      </c>
      <c r="D2031" s="199" t="s">
        <v>35</v>
      </c>
      <c r="E2031" s="199">
        <v>30000</v>
      </c>
      <c r="F2031" s="199" t="s">
        <v>4678</v>
      </c>
      <c r="G2031" s="199" t="s">
        <v>5247</v>
      </c>
      <c r="H2031" s="200">
        <v>5400</v>
      </c>
      <c r="I2031" s="199" t="s">
        <v>38</v>
      </c>
      <c r="J2031" s="199" t="s">
        <v>415</v>
      </c>
      <c r="K2031" s="201">
        <v>45306</v>
      </c>
      <c r="L2031" s="199" t="s">
        <v>3319</v>
      </c>
      <c r="M2031" s="199" t="s">
        <v>3320</v>
      </c>
    </row>
    <row r="2032" spans="1:13" ht="99.75">
      <c r="A2032" s="199">
        <v>2031</v>
      </c>
      <c r="B2032" s="199" t="s">
        <v>5335</v>
      </c>
      <c r="C2032" s="199" t="s">
        <v>34</v>
      </c>
      <c r="D2032" s="199" t="s">
        <v>35</v>
      </c>
      <c r="E2032" s="199">
        <v>3200</v>
      </c>
      <c r="F2032" s="199" t="s">
        <v>988</v>
      </c>
      <c r="G2032" s="199" t="s">
        <v>5247</v>
      </c>
      <c r="H2032" s="200">
        <v>11712</v>
      </c>
      <c r="I2032" s="199" t="s">
        <v>38</v>
      </c>
      <c r="J2032" s="199" t="s">
        <v>415</v>
      </c>
      <c r="K2032" s="201">
        <v>45306</v>
      </c>
      <c r="L2032" s="199" t="s">
        <v>3319</v>
      </c>
      <c r="M2032" s="199" t="s">
        <v>3320</v>
      </c>
    </row>
    <row r="2033" spans="1:13" ht="85.5">
      <c r="A2033" s="199">
        <v>2032</v>
      </c>
      <c r="B2033" s="199" t="s">
        <v>5336</v>
      </c>
      <c r="C2033" s="199" t="s">
        <v>34</v>
      </c>
      <c r="D2033" s="199" t="s">
        <v>35</v>
      </c>
      <c r="E2033" s="199">
        <v>150000</v>
      </c>
      <c r="F2033" s="199" t="s">
        <v>4678</v>
      </c>
      <c r="G2033" s="199" t="s">
        <v>5247</v>
      </c>
      <c r="H2033" s="200">
        <v>31500</v>
      </c>
      <c r="I2033" s="199" t="s">
        <v>38</v>
      </c>
      <c r="J2033" s="199" t="s">
        <v>415</v>
      </c>
      <c r="K2033" s="201">
        <v>45306</v>
      </c>
      <c r="L2033" s="199" t="s">
        <v>3319</v>
      </c>
      <c r="M2033" s="199" t="s">
        <v>3320</v>
      </c>
    </row>
    <row r="2034" spans="1:13" ht="85.5">
      <c r="A2034" s="199">
        <v>2033</v>
      </c>
      <c r="B2034" s="199" t="s">
        <v>5337</v>
      </c>
      <c r="C2034" s="199" t="s">
        <v>34</v>
      </c>
      <c r="D2034" s="199" t="s">
        <v>35</v>
      </c>
      <c r="E2034" s="199">
        <v>800</v>
      </c>
      <c r="F2034" s="199" t="s">
        <v>5250</v>
      </c>
      <c r="G2034" s="199" t="s">
        <v>5247</v>
      </c>
      <c r="H2034" s="200">
        <v>1408</v>
      </c>
      <c r="I2034" s="199" t="s">
        <v>38</v>
      </c>
      <c r="J2034" s="199" t="s">
        <v>415</v>
      </c>
      <c r="K2034" s="201">
        <v>45306</v>
      </c>
      <c r="L2034" s="199" t="s">
        <v>3319</v>
      </c>
      <c r="M2034" s="199" t="s">
        <v>3320</v>
      </c>
    </row>
    <row r="2035" spans="1:13" ht="85.5">
      <c r="A2035" s="199">
        <v>2034</v>
      </c>
      <c r="B2035" s="199" t="s">
        <v>5338</v>
      </c>
      <c r="C2035" s="199" t="s">
        <v>34</v>
      </c>
      <c r="D2035" s="199" t="s">
        <v>35</v>
      </c>
      <c r="E2035" s="199">
        <v>40000</v>
      </c>
      <c r="F2035" s="199" t="s">
        <v>4678</v>
      </c>
      <c r="G2035" s="199" t="s">
        <v>5247</v>
      </c>
      <c r="H2035" s="200">
        <v>7600</v>
      </c>
      <c r="I2035" s="199" t="s">
        <v>38</v>
      </c>
      <c r="J2035" s="199" t="s">
        <v>415</v>
      </c>
      <c r="K2035" s="201">
        <v>45306</v>
      </c>
      <c r="L2035" s="199" t="s">
        <v>3319</v>
      </c>
      <c r="M2035" s="199" t="s">
        <v>3320</v>
      </c>
    </row>
    <row r="2036" spans="1:13" ht="85.5">
      <c r="A2036" s="199">
        <v>2035</v>
      </c>
      <c r="B2036" s="199" t="s">
        <v>5339</v>
      </c>
      <c r="C2036" s="199" t="s">
        <v>34</v>
      </c>
      <c r="D2036" s="199" t="s">
        <v>35</v>
      </c>
      <c r="E2036" s="199">
        <v>30000</v>
      </c>
      <c r="F2036" s="199" t="s">
        <v>5260</v>
      </c>
      <c r="G2036" s="199" t="s">
        <v>5247</v>
      </c>
      <c r="H2036" s="200">
        <v>16800</v>
      </c>
      <c r="I2036" s="199" t="s">
        <v>38</v>
      </c>
      <c r="J2036" s="199" t="s">
        <v>415</v>
      </c>
      <c r="K2036" s="201">
        <v>45306</v>
      </c>
      <c r="L2036" s="199" t="s">
        <v>3319</v>
      </c>
      <c r="M2036" s="199" t="s">
        <v>3320</v>
      </c>
    </row>
    <row r="2037" spans="1:13" ht="85.5">
      <c r="A2037" s="199">
        <v>2036</v>
      </c>
      <c r="B2037" s="199" t="s">
        <v>5340</v>
      </c>
      <c r="C2037" s="199" t="s">
        <v>34</v>
      </c>
      <c r="D2037" s="199" t="s">
        <v>35</v>
      </c>
      <c r="E2037" s="199">
        <v>100000</v>
      </c>
      <c r="F2037" s="199" t="s">
        <v>4678</v>
      </c>
      <c r="G2037" s="199" t="s">
        <v>5247</v>
      </c>
      <c r="H2037" s="200">
        <v>13000</v>
      </c>
      <c r="I2037" s="199" t="s">
        <v>38</v>
      </c>
      <c r="J2037" s="199" t="s">
        <v>415</v>
      </c>
      <c r="K2037" s="201">
        <v>45306</v>
      </c>
      <c r="L2037" s="199" t="s">
        <v>3319</v>
      </c>
      <c r="M2037" s="199" t="s">
        <v>3320</v>
      </c>
    </row>
    <row r="2038" spans="1:13" ht="85.5">
      <c r="A2038" s="199">
        <v>2037</v>
      </c>
      <c r="B2038" s="199" t="s">
        <v>5341</v>
      </c>
      <c r="C2038" s="199" t="s">
        <v>34</v>
      </c>
      <c r="D2038" s="199" t="s">
        <v>35</v>
      </c>
      <c r="E2038" s="199">
        <v>400</v>
      </c>
      <c r="F2038" s="199" t="s">
        <v>5250</v>
      </c>
      <c r="G2038" s="199" t="s">
        <v>5247</v>
      </c>
      <c r="H2038" s="200">
        <v>592</v>
      </c>
      <c r="I2038" s="199" t="s">
        <v>38</v>
      </c>
      <c r="J2038" s="199" t="s">
        <v>415</v>
      </c>
      <c r="K2038" s="201">
        <v>45306</v>
      </c>
      <c r="L2038" s="199" t="s">
        <v>3319</v>
      </c>
      <c r="M2038" s="199" t="s">
        <v>3320</v>
      </c>
    </row>
    <row r="2039" spans="1:13" ht="85.5">
      <c r="A2039" s="199">
        <v>2038</v>
      </c>
      <c r="B2039" s="199" t="s">
        <v>5342</v>
      </c>
      <c r="C2039" s="199" t="s">
        <v>34</v>
      </c>
      <c r="D2039" s="199" t="s">
        <v>35</v>
      </c>
      <c r="E2039" s="199">
        <v>30000</v>
      </c>
      <c r="F2039" s="199" t="s">
        <v>4678</v>
      </c>
      <c r="G2039" s="199" t="s">
        <v>5247</v>
      </c>
      <c r="H2039" s="200">
        <v>8100</v>
      </c>
      <c r="I2039" s="199" t="s">
        <v>38</v>
      </c>
      <c r="J2039" s="199" t="s">
        <v>415</v>
      </c>
      <c r="K2039" s="201">
        <v>45306</v>
      </c>
      <c r="L2039" s="199" t="s">
        <v>3319</v>
      </c>
      <c r="M2039" s="199" t="s">
        <v>3320</v>
      </c>
    </row>
    <row r="2040" spans="1:13" ht="85.5">
      <c r="A2040" s="199">
        <v>2039</v>
      </c>
      <c r="B2040" s="199" t="s">
        <v>5343</v>
      </c>
      <c r="C2040" s="199" t="s">
        <v>34</v>
      </c>
      <c r="D2040" s="199" t="s">
        <v>35</v>
      </c>
      <c r="E2040" s="199">
        <v>12000</v>
      </c>
      <c r="F2040" s="199" t="s">
        <v>4678</v>
      </c>
      <c r="G2040" s="199" t="s">
        <v>5247</v>
      </c>
      <c r="H2040" s="200">
        <v>3960</v>
      </c>
      <c r="I2040" s="199" t="s">
        <v>38</v>
      </c>
      <c r="J2040" s="199" t="s">
        <v>415</v>
      </c>
      <c r="K2040" s="201">
        <v>45306</v>
      </c>
      <c r="L2040" s="199" t="s">
        <v>3319</v>
      </c>
      <c r="M2040" s="199" t="s">
        <v>3320</v>
      </c>
    </row>
    <row r="2041" spans="1:13" ht="85.5">
      <c r="A2041" s="199">
        <v>2040</v>
      </c>
      <c r="B2041" s="199" t="s">
        <v>5344</v>
      </c>
      <c r="C2041" s="199" t="s">
        <v>34</v>
      </c>
      <c r="D2041" s="199" t="s">
        <v>35</v>
      </c>
      <c r="E2041" s="199">
        <v>56000</v>
      </c>
      <c r="F2041" s="199" t="s">
        <v>4678</v>
      </c>
      <c r="G2041" s="199" t="s">
        <v>5247</v>
      </c>
      <c r="H2041" s="200">
        <v>11760</v>
      </c>
      <c r="I2041" s="199" t="s">
        <v>38</v>
      </c>
      <c r="J2041" s="199" t="s">
        <v>415</v>
      </c>
      <c r="K2041" s="201">
        <v>45306</v>
      </c>
      <c r="L2041" s="199" t="s">
        <v>3319</v>
      </c>
      <c r="M2041" s="199" t="s">
        <v>3320</v>
      </c>
    </row>
    <row r="2042" spans="1:13" ht="85.5">
      <c r="A2042" s="199">
        <v>2041</v>
      </c>
      <c r="B2042" s="199" t="s">
        <v>5345</v>
      </c>
      <c r="C2042" s="199" t="s">
        <v>34</v>
      </c>
      <c r="D2042" s="199" t="s">
        <v>35</v>
      </c>
      <c r="E2042" s="199">
        <v>12000</v>
      </c>
      <c r="F2042" s="199" t="s">
        <v>988</v>
      </c>
      <c r="G2042" s="199" t="s">
        <v>5247</v>
      </c>
      <c r="H2042" s="200">
        <v>45960</v>
      </c>
      <c r="I2042" s="199" t="s">
        <v>38</v>
      </c>
      <c r="J2042" s="199" t="s">
        <v>415</v>
      </c>
      <c r="K2042" s="201">
        <v>45306</v>
      </c>
      <c r="L2042" s="199" t="s">
        <v>3319</v>
      </c>
      <c r="M2042" s="199" t="s">
        <v>3320</v>
      </c>
    </row>
    <row r="2043" spans="1:13" ht="85.5">
      <c r="A2043" s="199">
        <v>2042</v>
      </c>
      <c r="B2043" s="199" t="s">
        <v>5346</v>
      </c>
      <c r="C2043" s="199" t="s">
        <v>34</v>
      </c>
      <c r="D2043" s="199" t="s">
        <v>35</v>
      </c>
      <c r="E2043" s="199">
        <v>18000</v>
      </c>
      <c r="F2043" s="199" t="s">
        <v>4678</v>
      </c>
      <c r="G2043" s="199" t="s">
        <v>5247</v>
      </c>
      <c r="H2043" s="200">
        <v>22500</v>
      </c>
      <c r="I2043" s="199" t="s">
        <v>38</v>
      </c>
      <c r="J2043" s="199" t="s">
        <v>415</v>
      </c>
      <c r="K2043" s="201">
        <v>45306</v>
      </c>
      <c r="L2043" s="199" t="s">
        <v>3319</v>
      </c>
      <c r="M2043" s="199" t="s">
        <v>3320</v>
      </c>
    </row>
    <row r="2044" spans="1:13" ht="85.5">
      <c r="A2044" s="199">
        <v>2043</v>
      </c>
      <c r="B2044" s="199" t="s">
        <v>5347</v>
      </c>
      <c r="C2044" s="199" t="s">
        <v>34</v>
      </c>
      <c r="D2044" s="199" t="s">
        <v>35</v>
      </c>
      <c r="E2044" s="199">
        <v>225000</v>
      </c>
      <c r="F2044" s="199" t="s">
        <v>4678</v>
      </c>
      <c r="G2044" s="199" t="s">
        <v>5247</v>
      </c>
      <c r="H2044" s="200">
        <v>63000</v>
      </c>
      <c r="I2044" s="199" t="s">
        <v>38</v>
      </c>
      <c r="J2044" s="199" t="s">
        <v>415</v>
      </c>
      <c r="K2044" s="201">
        <v>45306</v>
      </c>
      <c r="L2044" s="199" t="s">
        <v>3319</v>
      </c>
      <c r="M2044" s="199" t="s">
        <v>3320</v>
      </c>
    </row>
    <row r="2045" spans="1:13" ht="85.5">
      <c r="A2045" s="199">
        <v>2044</v>
      </c>
      <c r="B2045" s="199" t="s">
        <v>5347</v>
      </c>
      <c r="C2045" s="199" t="s">
        <v>34</v>
      </c>
      <c r="D2045" s="199" t="s">
        <v>35</v>
      </c>
      <c r="E2045" s="199">
        <v>75000</v>
      </c>
      <c r="F2045" s="199" t="s">
        <v>4678</v>
      </c>
      <c r="G2045" s="199" t="s">
        <v>5247</v>
      </c>
      <c r="H2045" s="200">
        <v>21000</v>
      </c>
      <c r="I2045" s="199" t="s">
        <v>38</v>
      </c>
      <c r="J2045" s="199" t="s">
        <v>415</v>
      </c>
      <c r="K2045" s="201">
        <v>45306</v>
      </c>
      <c r="L2045" s="199" t="s">
        <v>3319</v>
      </c>
      <c r="M2045" s="199" t="s">
        <v>3320</v>
      </c>
    </row>
    <row r="2046" spans="1:13" ht="85.5">
      <c r="A2046" s="199">
        <v>2045</v>
      </c>
      <c r="B2046" s="199" t="s">
        <v>5348</v>
      </c>
      <c r="C2046" s="199" t="s">
        <v>34</v>
      </c>
      <c r="D2046" s="199" t="s">
        <v>35</v>
      </c>
      <c r="E2046" s="199">
        <v>15200</v>
      </c>
      <c r="F2046" s="199" t="s">
        <v>988</v>
      </c>
      <c r="G2046" s="199" t="s">
        <v>5247</v>
      </c>
      <c r="H2046" s="200">
        <v>34048</v>
      </c>
      <c r="I2046" s="199" t="s">
        <v>38</v>
      </c>
      <c r="J2046" s="199" t="s">
        <v>415</v>
      </c>
      <c r="K2046" s="201">
        <v>45306</v>
      </c>
      <c r="L2046" s="199" t="s">
        <v>3319</v>
      </c>
      <c r="M2046" s="199" t="s">
        <v>3320</v>
      </c>
    </row>
    <row r="2047" spans="1:13" ht="114">
      <c r="A2047" s="199">
        <v>2046</v>
      </c>
      <c r="B2047" s="199" t="s">
        <v>5349</v>
      </c>
      <c r="C2047" s="199" t="s">
        <v>34</v>
      </c>
      <c r="D2047" s="199" t="s">
        <v>35</v>
      </c>
      <c r="E2047" s="199">
        <v>45000</v>
      </c>
      <c r="F2047" s="199" t="s">
        <v>4678</v>
      </c>
      <c r="G2047" s="199" t="s">
        <v>5247</v>
      </c>
      <c r="H2047" s="200">
        <v>73350</v>
      </c>
      <c r="I2047" s="199" t="s">
        <v>38</v>
      </c>
      <c r="J2047" s="199" t="s">
        <v>415</v>
      </c>
      <c r="K2047" s="201">
        <v>45306</v>
      </c>
      <c r="L2047" s="199" t="s">
        <v>3319</v>
      </c>
      <c r="M2047" s="199" t="s">
        <v>3320</v>
      </c>
    </row>
    <row r="2048" spans="1:13" ht="114">
      <c r="A2048" s="199">
        <v>2047</v>
      </c>
      <c r="B2048" s="199" t="s">
        <v>5349</v>
      </c>
      <c r="C2048" s="199" t="s">
        <v>34</v>
      </c>
      <c r="D2048" s="199" t="s">
        <v>35</v>
      </c>
      <c r="E2048" s="199">
        <v>15000</v>
      </c>
      <c r="F2048" s="199" t="s">
        <v>4678</v>
      </c>
      <c r="G2048" s="199" t="s">
        <v>5247</v>
      </c>
      <c r="H2048" s="200">
        <v>24450</v>
      </c>
      <c r="I2048" s="199" t="s">
        <v>38</v>
      </c>
      <c r="J2048" s="199" t="s">
        <v>415</v>
      </c>
      <c r="K2048" s="201">
        <v>45306</v>
      </c>
      <c r="L2048" s="199" t="s">
        <v>3319</v>
      </c>
      <c r="M2048" s="199" t="s">
        <v>3320</v>
      </c>
    </row>
    <row r="2049" spans="1:13" ht="85.5">
      <c r="A2049" s="199">
        <v>2048</v>
      </c>
      <c r="B2049" s="199" t="s">
        <v>5350</v>
      </c>
      <c r="C2049" s="199" t="s">
        <v>34</v>
      </c>
      <c r="D2049" s="199" t="s">
        <v>35</v>
      </c>
      <c r="E2049" s="199">
        <v>1800</v>
      </c>
      <c r="F2049" s="199" t="s">
        <v>5250</v>
      </c>
      <c r="G2049" s="199" t="s">
        <v>5247</v>
      </c>
      <c r="H2049" s="200">
        <v>5202</v>
      </c>
      <c r="I2049" s="199" t="s">
        <v>38</v>
      </c>
      <c r="J2049" s="199" t="s">
        <v>415</v>
      </c>
      <c r="K2049" s="201">
        <v>45306</v>
      </c>
      <c r="L2049" s="199" t="s">
        <v>3319</v>
      </c>
      <c r="M2049" s="199" t="s">
        <v>3320</v>
      </c>
    </row>
    <row r="2050" spans="1:13" ht="85.5">
      <c r="A2050" s="199">
        <v>2049</v>
      </c>
      <c r="B2050" s="199" t="s">
        <v>5351</v>
      </c>
      <c r="C2050" s="199" t="s">
        <v>34</v>
      </c>
      <c r="D2050" s="199" t="s">
        <v>35</v>
      </c>
      <c r="E2050" s="199">
        <v>5200</v>
      </c>
      <c r="F2050" s="199" t="s">
        <v>4678</v>
      </c>
      <c r="G2050" s="199" t="s">
        <v>5247</v>
      </c>
      <c r="H2050" s="200">
        <v>6136</v>
      </c>
      <c r="I2050" s="199" t="s">
        <v>38</v>
      </c>
      <c r="J2050" s="199" t="s">
        <v>415</v>
      </c>
      <c r="K2050" s="201">
        <v>45306</v>
      </c>
      <c r="L2050" s="199" t="s">
        <v>3319</v>
      </c>
      <c r="M2050" s="199" t="s">
        <v>3320</v>
      </c>
    </row>
    <row r="2051" spans="1:13" ht="85.5">
      <c r="A2051" s="199">
        <v>2050</v>
      </c>
      <c r="B2051" s="199" t="s">
        <v>5352</v>
      </c>
      <c r="C2051" s="199" t="s">
        <v>34</v>
      </c>
      <c r="D2051" s="199" t="s">
        <v>35</v>
      </c>
      <c r="E2051" s="199">
        <v>400</v>
      </c>
      <c r="F2051" s="199" t="s">
        <v>5250</v>
      </c>
      <c r="G2051" s="199" t="s">
        <v>5247</v>
      </c>
      <c r="H2051" s="200">
        <v>5388</v>
      </c>
      <c r="I2051" s="199" t="s">
        <v>38</v>
      </c>
      <c r="J2051" s="199" t="s">
        <v>415</v>
      </c>
      <c r="K2051" s="201">
        <v>45306</v>
      </c>
      <c r="L2051" s="199" t="s">
        <v>3319</v>
      </c>
      <c r="M2051" s="199" t="s">
        <v>3320</v>
      </c>
    </row>
    <row r="2052" spans="1:13" ht="85.5">
      <c r="A2052" s="199">
        <v>2051</v>
      </c>
      <c r="B2052" s="199" t="s">
        <v>5353</v>
      </c>
      <c r="C2052" s="199" t="s">
        <v>34</v>
      </c>
      <c r="D2052" s="199" t="s">
        <v>35</v>
      </c>
      <c r="E2052" s="199">
        <v>400</v>
      </c>
      <c r="F2052" s="199" t="s">
        <v>5250</v>
      </c>
      <c r="G2052" s="199" t="s">
        <v>5247</v>
      </c>
      <c r="H2052" s="200">
        <v>1340</v>
      </c>
      <c r="I2052" s="199" t="s">
        <v>38</v>
      </c>
      <c r="J2052" s="199" t="s">
        <v>415</v>
      </c>
      <c r="K2052" s="201">
        <v>45306</v>
      </c>
      <c r="L2052" s="199" t="s">
        <v>3319</v>
      </c>
      <c r="M2052" s="199" t="s">
        <v>3320</v>
      </c>
    </row>
    <row r="2053" spans="1:13" ht="85.5">
      <c r="A2053" s="199">
        <v>2052</v>
      </c>
      <c r="B2053" s="199" t="s">
        <v>5354</v>
      </c>
      <c r="C2053" s="199" t="s">
        <v>34</v>
      </c>
      <c r="D2053" s="199" t="s">
        <v>35</v>
      </c>
      <c r="E2053" s="199">
        <v>157500</v>
      </c>
      <c r="F2053" s="199" t="s">
        <v>4678</v>
      </c>
      <c r="G2053" s="199" t="s">
        <v>5247</v>
      </c>
      <c r="H2053" s="200">
        <v>74025</v>
      </c>
      <c r="I2053" s="199" t="s">
        <v>38</v>
      </c>
      <c r="J2053" s="199" t="s">
        <v>415</v>
      </c>
      <c r="K2053" s="201">
        <v>45306</v>
      </c>
      <c r="L2053" s="199" t="s">
        <v>3319</v>
      </c>
      <c r="M2053" s="199" t="s">
        <v>3320</v>
      </c>
    </row>
    <row r="2054" spans="1:13" ht="85.5">
      <c r="A2054" s="199">
        <v>2053</v>
      </c>
      <c r="B2054" s="199" t="s">
        <v>5354</v>
      </c>
      <c r="C2054" s="199" t="s">
        <v>34</v>
      </c>
      <c r="D2054" s="199" t="s">
        <v>35</v>
      </c>
      <c r="E2054" s="199">
        <v>52500</v>
      </c>
      <c r="F2054" s="199" t="s">
        <v>4678</v>
      </c>
      <c r="G2054" s="199" t="s">
        <v>5247</v>
      </c>
      <c r="H2054" s="200">
        <v>24675</v>
      </c>
      <c r="I2054" s="199" t="s">
        <v>38</v>
      </c>
      <c r="J2054" s="199" t="s">
        <v>415</v>
      </c>
      <c r="K2054" s="201">
        <v>45306</v>
      </c>
      <c r="L2054" s="199" t="s">
        <v>3319</v>
      </c>
      <c r="M2054" s="199" t="s">
        <v>3320</v>
      </c>
    </row>
    <row r="2055" spans="1:13" ht="85.5">
      <c r="A2055" s="199">
        <v>2054</v>
      </c>
      <c r="B2055" s="199" t="s">
        <v>5355</v>
      </c>
      <c r="C2055" s="199" t="s">
        <v>34</v>
      </c>
      <c r="D2055" s="199" t="s">
        <v>35</v>
      </c>
      <c r="E2055" s="199">
        <v>2000</v>
      </c>
      <c r="F2055" s="199" t="s">
        <v>4678</v>
      </c>
      <c r="G2055" s="199" t="s">
        <v>5247</v>
      </c>
      <c r="H2055" s="200">
        <v>1180</v>
      </c>
      <c r="I2055" s="199" t="s">
        <v>38</v>
      </c>
      <c r="J2055" s="199" t="s">
        <v>415</v>
      </c>
      <c r="K2055" s="201">
        <v>45306</v>
      </c>
      <c r="L2055" s="199" t="s">
        <v>3319</v>
      </c>
      <c r="M2055" s="199" t="s">
        <v>3320</v>
      </c>
    </row>
    <row r="2056" spans="1:13" ht="85.5">
      <c r="A2056" s="199">
        <v>2055</v>
      </c>
      <c r="B2056" s="199" t="s">
        <v>5356</v>
      </c>
      <c r="C2056" s="199" t="s">
        <v>34</v>
      </c>
      <c r="D2056" s="199" t="s">
        <v>35</v>
      </c>
      <c r="E2056" s="199">
        <v>225000</v>
      </c>
      <c r="F2056" s="199" t="s">
        <v>4678</v>
      </c>
      <c r="G2056" s="199" t="s">
        <v>5247</v>
      </c>
      <c r="H2056" s="200">
        <v>60750</v>
      </c>
      <c r="I2056" s="199" t="s">
        <v>38</v>
      </c>
      <c r="J2056" s="199" t="s">
        <v>415</v>
      </c>
      <c r="K2056" s="201">
        <v>45306</v>
      </c>
      <c r="L2056" s="199" t="s">
        <v>3319</v>
      </c>
      <c r="M2056" s="199" t="s">
        <v>3320</v>
      </c>
    </row>
    <row r="2057" spans="1:13" ht="85.5">
      <c r="A2057" s="199">
        <v>2056</v>
      </c>
      <c r="B2057" s="199" t="s">
        <v>5356</v>
      </c>
      <c r="C2057" s="199" t="s">
        <v>34</v>
      </c>
      <c r="D2057" s="199" t="s">
        <v>35</v>
      </c>
      <c r="E2057" s="199">
        <v>75000</v>
      </c>
      <c r="F2057" s="199" t="s">
        <v>4678</v>
      </c>
      <c r="G2057" s="199" t="s">
        <v>5247</v>
      </c>
      <c r="H2057" s="200">
        <v>20250</v>
      </c>
      <c r="I2057" s="199" t="s">
        <v>38</v>
      </c>
      <c r="J2057" s="199" t="s">
        <v>415</v>
      </c>
      <c r="K2057" s="201">
        <v>45306</v>
      </c>
      <c r="L2057" s="199" t="s">
        <v>3319</v>
      </c>
      <c r="M2057" s="199" t="s">
        <v>3320</v>
      </c>
    </row>
    <row r="2058" spans="1:13" ht="85.5">
      <c r="A2058" s="199">
        <v>2057</v>
      </c>
      <c r="B2058" s="199" t="s">
        <v>5357</v>
      </c>
      <c r="C2058" s="199" t="s">
        <v>34</v>
      </c>
      <c r="D2058" s="199" t="s">
        <v>35</v>
      </c>
      <c r="E2058" s="199">
        <v>200000</v>
      </c>
      <c r="F2058" s="199" t="s">
        <v>4678</v>
      </c>
      <c r="G2058" s="199" t="s">
        <v>5247</v>
      </c>
      <c r="H2058" s="200">
        <v>56000</v>
      </c>
      <c r="I2058" s="199" t="s">
        <v>38</v>
      </c>
      <c r="J2058" s="199" t="s">
        <v>415</v>
      </c>
      <c r="K2058" s="201">
        <v>45306</v>
      </c>
      <c r="L2058" s="199" t="s">
        <v>3319</v>
      </c>
      <c r="M2058" s="199" t="s">
        <v>3320</v>
      </c>
    </row>
    <row r="2059" spans="1:13" ht="85.5">
      <c r="A2059" s="199">
        <v>2058</v>
      </c>
      <c r="B2059" s="199" t="s">
        <v>5358</v>
      </c>
      <c r="C2059" s="199" t="s">
        <v>34</v>
      </c>
      <c r="D2059" s="199" t="s">
        <v>35</v>
      </c>
      <c r="E2059" s="199">
        <v>400</v>
      </c>
      <c r="F2059" s="199" t="s">
        <v>5250</v>
      </c>
      <c r="G2059" s="199" t="s">
        <v>5247</v>
      </c>
      <c r="H2059" s="200">
        <v>1060</v>
      </c>
      <c r="I2059" s="199" t="s">
        <v>38</v>
      </c>
      <c r="J2059" s="199" t="s">
        <v>415</v>
      </c>
      <c r="K2059" s="201">
        <v>45306</v>
      </c>
      <c r="L2059" s="199" t="s">
        <v>3319</v>
      </c>
      <c r="M2059" s="199" t="s">
        <v>3320</v>
      </c>
    </row>
    <row r="2060" spans="1:13" ht="128.25">
      <c r="A2060" s="199">
        <v>2059</v>
      </c>
      <c r="B2060" s="199" t="s">
        <v>5359</v>
      </c>
      <c r="C2060" s="199" t="s">
        <v>34</v>
      </c>
      <c r="D2060" s="199" t="s">
        <v>35</v>
      </c>
      <c r="E2060" s="199">
        <v>12000</v>
      </c>
      <c r="F2060" s="199" t="s">
        <v>5252</v>
      </c>
      <c r="G2060" s="199" t="s">
        <v>5247</v>
      </c>
      <c r="H2060" s="200">
        <v>43800</v>
      </c>
      <c r="I2060" s="199" t="s">
        <v>38</v>
      </c>
      <c r="J2060" s="199" t="s">
        <v>415</v>
      </c>
      <c r="K2060" s="201">
        <v>45306</v>
      </c>
      <c r="L2060" s="199" t="s">
        <v>3319</v>
      </c>
      <c r="M2060" s="199" t="s">
        <v>3320</v>
      </c>
    </row>
    <row r="2061" spans="1:13" ht="85.5">
      <c r="A2061" s="199">
        <v>2060</v>
      </c>
      <c r="B2061" s="199" t="s">
        <v>5360</v>
      </c>
      <c r="C2061" s="199" t="s">
        <v>34</v>
      </c>
      <c r="D2061" s="199" t="s">
        <v>35</v>
      </c>
      <c r="E2061" s="199">
        <v>600</v>
      </c>
      <c r="F2061" s="199" t="s">
        <v>988</v>
      </c>
      <c r="G2061" s="199" t="s">
        <v>5247</v>
      </c>
      <c r="H2061" s="200">
        <v>3630</v>
      </c>
      <c r="I2061" s="199" t="s">
        <v>38</v>
      </c>
      <c r="J2061" s="199" t="s">
        <v>415</v>
      </c>
      <c r="K2061" s="201">
        <v>45306</v>
      </c>
      <c r="L2061" s="199" t="s">
        <v>3319</v>
      </c>
      <c r="M2061" s="199" t="s">
        <v>3320</v>
      </c>
    </row>
    <row r="2062" spans="1:13" ht="99.75">
      <c r="A2062" s="199">
        <v>2061</v>
      </c>
      <c r="B2062" s="199" t="s">
        <v>5361</v>
      </c>
      <c r="C2062" s="199" t="s">
        <v>34</v>
      </c>
      <c r="D2062" s="199" t="s">
        <v>35</v>
      </c>
      <c r="E2062" s="199">
        <v>800</v>
      </c>
      <c r="F2062" s="199" t="s">
        <v>5250</v>
      </c>
      <c r="G2062" s="199" t="s">
        <v>5247</v>
      </c>
      <c r="H2062" s="200">
        <v>944</v>
      </c>
      <c r="I2062" s="199" t="s">
        <v>38</v>
      </c>
      <c r="J2062" s="199" t="s">
        <v>415</v>
      </c>
      <c r="K2062" s="201">
        <v>45306</v>
      </c>
      <c r="L2062" s="199" t="s">
        <v>3319</v>
      </c>
      <c r="M2062" s="199" t="s">
        <v>3320</v>
      </c>
    </row>
    <row r="2063" spans="1:13" ht="85.5">
      <c r="A2063" s="199">
        <v>2062</v>
      </c>
      <c r="B2063" s="199" t="s">
        <v>5362</v>
      </c>
      <c r="C2063" s="199" t="s">
        <v>34</v>
      </c>
      <c r="D2063" s="199" t="s">
        <v>35</v>
      </c>
      <c r="E2063" s="199">
        <v>30000</v>
      </c>
      <c r="F2063" s="199" t="s">
        <v>4678</v>
      </c>
      <c r="G2063" s="199" t="s">
        <v>5247</v>
      </c>
      <c r="H2063" s="200">
        <v>27600</v>
      </c>
      <c r="I2063" s="199" t="s">
        <v>38</v>
      </c>
      <c r="J2063" s="199" t="s">
        <v>415</v>
      </c>
      <c r="K2063" s="201">
        <v>45306</v>
      </c>
      <c r="L2063" s="199" t="s">
        <v>3319</v>
      </c>
      <c r="M2063" s="199" t="s">
        <v>3320</v>
      </c>
    </row>
    <row r="2064" spans="1:13" ht="85.5">
      <c r="A2064" s="199">
        <v>2063</v>
      </c>
      <c r="B2064" s="199" t="s">
        <v>5363</v>
      </c>
      <c r="C2064" s="199" t="s">
        <v>34</v>
      </c>
      <c r="D2064" s="199" t="s">
        <v>35</v>
      </c>
      <c r="E2064" s="199">
        <v>262500</v>
      </c>
      <c r="F2064" s="199" t="s">
        <v>4678</v>
      </c>
      <c r="G2064" s="199" t="s">
        <v>5247</v>
      </c>
      <c r="H2064" s="200">
        <v>112875</v>
      </c>
      <c r="I2064" s="199" t="s">
        <v>38</v>
      </c>
      <c r="J2064" s="199" t="s">
        <v>415</v>
      </c>
      <c r="K2064" s="201">
        <v>45306</v>
      </c>
      <c r="L2064" s="199" t="s">
        <v>3319</v>
      </c>
      <c r="M2064" s="199" t="s">
        <v>3320</v>
      </c>
    </row>
    <row r="2065" spans="1:13" ht="85.5">
      <c r="A2065" s="199">
        <v>2064</v>
      </c>
      <c r="B2065" s="199" t="s">
        <v>5363</v>
      </c>
      <c r="C2065" s="199" t="s">
        <v>34</v>
      </c>
      <c r="D2065" s="199" t="s">
        <v>35</v>
      </c>
      <c r="E2065" s="199">
        <v>87500</v>
      </c>
      <c r="F2065" s="199" t="s">
        <v>4678</v>
      </c>
      <c r="G2065" s="199" t="s">
        <v>5247</v>
      </c>
      <c r="H2065" s="200">
        <v>37625</v>
      </c>
      <c r="I2065" s="199" t="s">
        <v>38</v>
      </c>
      <c r="J2065" s="199" t="s">
        <v>415</v>
      </c>
      <c r="K2065" s="201">
        <v>45306</v>
      </c>
      <c r="L2065" s="199" t="s">
        <v>3319</v>
      </c>
      <c r="M2065" s="199" t="s">
        <v>3320</v>
      </c>
    </row>
    <row r="2066" spans="1:13" ht="142.5">
      <c r="A2066" s="199">
        <v>2065</v>
      </c>
      <c r="B2066" s="199" t="s">
        <v>5364</v>
      </c>
      <c r="C2066" s="199" t="s">
        <v>34</v>
      </c>
      <c r="D2066" s="199" t="s">
        <v>35</v>
      </c>
      <c r="E2066" s="199">
        <v>800</v>
      </c>
      <c r="F2066" s="199" t="s">
        <v>5250</v>
      </c>
      <c r="G2066" s="199" t="s">
        <v>5247</v>
      </c>
      <c r="H2066" s="200">
        <v>18808</v>
      </c>
      <c r="I2066" s="199" t="s">
        <v>38</v>
      </c>
      <c r="J2066" s="199" t="s">
        <v>415</v>
      </c>
      <c r="K2066" s="201">
        <v>45306</v>
      </c>
      <c r="L2066" s="199" t="s">
        <v>3319</v>
      </c>
      <c r="M2066" s="199" t="s">
        <v>3320</v>
      </c>
    </row>
    <row r="2067" spans="1:13" ht="85.5">
      <c r="A2067" s="199">
        <v>2066</v>
      </c>
      <c r="B2067" s="199" t="s">
        <v>5365</v>
      </c>
      <c r="C2067" s="199" t="s">
        <v>34</v>
      </c>
      <c r="D2067" s="199" t="s">
        <v>35</v>
      </c>
      <c r="E2067" s="199">
        <v>80000</v>
      </c>
      <c r="F2067" s="199" t="s">
        <v>4678</v>
      </c>
      <c r="G2067" s="199" t="s">
        <v>5247</v>
      </c>
      <c r="H2067" s="200">
        <v>19200</v>
      </c>
      <c r="I2067" s="199" t="s">
        <v>38</v>
      </c>
      <c r="J2067" s="199" t="s">
        <v>415</v>
      </c>
      <c r="K2067" s="201">
        <v>45306</v>
      </c>
      <c r="L2067" s="199" t="s">
        <v>3319</v>
      </c>
      <c r="M2067" s="199" t="s">
        <v>3320</v>
      </c>
    </row>
    <row r="2068" spans="1:13" ht="85.5">
      <c r="A2068" s="199">
        <v>2067</v>
      </c>
      <c r="B2068" s="199" t="s">
        <v>5366</v>
      </c>
      <c r="C2068" s="199" t="s">
        <v>34</v>
      </c>
      <c r="D2068" s="199" t="s">
        <v>35</v>
      </c>
      <c r="E2068" s="199">
        <v>400</v>
      </c>
      <c r="F2068" s="199" t="s">
        <v>5250</v>
      </c>
      <c r="G2068" s="199" t="s">
        <v>5247</v>
      </c>
      <c r="H2068" s="200">
        <v>1808</v>
      </c>
      <c r="I2068" s="199" t="s">
        <v>38</v>
      </c>
      <c r="J2068" s="199" t="s">
        <v>415</v>
      </c>
      <c r="K2068" s="201">
        <v>45306</v>
      </c>
      <c r="L2068" s="199" t="s">
        <v>3319</v>
      </c>
      <c r="M2068" s="199" t="s">
        <v>3320</v>
      </c>
    </row>
    <row r="2069" spans="1:13" ht="85.5">
      <c r="A2069" s="199">
        <v>2068</v>
      </c>
      <c r="B2069" s="199" t="s">
        <v>5367</v>
      </c>
      <c r="C2069" s="199" t="s">
        <v>34</v>
      </c>
      <c r="D2069" s="199" t="s">
        <v>35</v>
      </c>
      <c r="E2069" s="199">
        <v>76000</v>
      </c>
      <c r="F2069" s="199" t="s">
        <v>4678</v>
      </c>
      <c r="G2069" s="199" t="s">
        <v>5247</v>
      </c>
      <c r="H2069" s="200">
        <v>21280</v>
      </c>
      <c r="I2069" s="199" t="s">
        <v>38</v>
      </c>
      <c r="J2069" s="199" t="s">
        <v>415</v>
      </c>
      <c r="K2069" s="201">
        <v>45306</v>
      </c>
      <c r="L2069" s="199" t="s">
        <v>3319</v>
      </c>
      <c r="M2069" s="199" t="s">
        <v>3320</v>
      </c>
    </row>
    <row r="2070" spans="1:13" ht="85.5">
      <c r="A2070" s="199">
        <v>2069</v>
      </c>
      <c r="B2070" s="199" t="s">
        <v>5368</v>
      </c>
      <c r="C2070" s="199" t="s">
        <v>34</v>
      </c>
      <c r="D2070" s="199" t="s">
        <v>35</v>
      </c>
      <c r="E2070" s="199">
        <v>400</v>
      </c>
      <c r="F2070" s="199" t="s">
        <v>5250</v>
      </c>
      <c r="G2070" s="199" t="s">
        <v>5247</v>
      </c>
      <c r="H2070" s="200">
        <v>1396</v>
      </c>
      <c r="I2070" s="199" t="s">
        <v>38</v>
      </c>
      <c r="J2070" s="199" t="s">
        <v>415</v>
      </c>
      <c r="K2070" s="201">
        <v>45306</v>
      </c>
      <c r="L2070" s="199" t="s">
        <v>3319</v>
      </c>
      <c r="M2070" s="199" t="s">
        <v>3320</v>
      </c>
    </row>
    <row r="2071" spans="1:13" ht="85.5">
      <c r="A2071" s="199">
        <v>2070</v>
      </c>
      <c r="B2071" s="199" t="s">
        <v>5369</v>
      </c>
      <c r="C2071" s="199" t="s">
        <v>34</v>
      </c>
      <c r="D2071" s="199" t="s">
        <v>35</v>
      </c>
      <c r="E2071" s="199">
        <v>320</v>
      </c>
      <c r="F2071" s="199" t="s">
        <v>988</v>
      </c>
      <c r="G2071" s="199" t="s">
        <v>5247</v>
      </c>
      <c r="H2071" s="200">
        <v>1798.4</v>
      </c>
      <c r="I2071" s="199" t="s">
        <v>38</v>
      </c>
      <c r="J2071" s="199" t="s">
        <v>415</v>
      </c>
      <c r="K2071" s="201">
        <v>45306</v>
      </c>
      <c r="L2071" s="199" t="s">
        <v>3319</v>
      </c>
      <c r="M2071" s="199" t="s">
        <v>3320</v>
      </c>
    </row>
    <row r="2072" spans="1:13" ht="114">
      <c r="A2072" s="199">
        <v>2071</v>
      </c>
      <c r="B2072" s="199" t="s">
        <v>5370</v>
      </c>
      <c r="C2072" s="199" t="s">
        <v>34</v>
      </c>
      <c r="D2072" s="199" t="s">
        <v>35</v>
      </c>
      <c r="E2072" s="199">
        <v>400</v>
      </c>
      <c r="F2072" s="199" t="s">
        <v>988</v>
      </c>
      <c r="G2072" s="199" t="s">
        <v>5247</v>
      </c>
      <c r="H2072" s="200">
        <v>4352</v>
      </c>
      <c r="I2072" s="199" t="s">
        <v>38</v>
      </c>
      <c r="J2072" s="199" t="s">
        <v>415</v>
      </c>
      <c r="K2072" s="201">
        <v>45306</v>
      </c>
      <c r="L2072" s="199" t="s">
        <v>3319</v>
      </c>
      <c r="M2072" s="199" t="s">
        <v>3320</v>
      </c>
    </row>
    <row r="2073" spans="1:13" ht="85.5">
      <c r="A2073" s="199">
        <v>2072</v>
      </c>
      <c r="B2073" s="199" t="s">
        <v>5371</v>
      </c>
      <c r="C2073" s="199" t="s">
        <v>34</v>
      </c>
      <c r="D2073" s="199" t="s">
        <v>35</v>
      </c>
      <c r="E2073" s="199">
        <v>135000</v>
      </c>
      <c r="F2073" s="199" t="s">
        <v>4678</v>
      </c>
      <c r="G2073" s="199" t="s">
        <v>5247</v>
      </c>
      <c r="H2073" s="200">
        <v>224100</v>
      </c>
      <c r="I2073" s="199" t="s">
        <v>38</v>
      </c>
      <c r="J2073" s="199" t="s">
        <v>415</v>
      </c>
      <c r="K2073" s="201">
        <v>45306</v>
      </c>
      <c r="L2073" s="199" t="s">
        <v>3319</v>
      </c>
      <c r="M2073" s="199" t="s">
        <v>3320</v>
      </c>
    </row>
    <row r="2074" spans="1:13" ht="85.5">
      <c r="A2074" s="199">
        <v>2073</v>
      </c>
      <c r="B2074" s="199" t="s">
        <v>5371</v>
      </c>
      <c r="C2074" s="199" t="s">
        <v>34</v>
      </c>
      <c r="D2074" s="199" t="s">
        <v>35</v>
      </c>
      <c r="E2074" s="199">
        <v>45000</v>
      </c>
      <c r="F2074" s="199" t="s">
        <v>4678</v>
      </c>
      <c r="G2074" s="199" t="s">
        <v>5247</v>
      </c>
      <c r="H2074" s="200">
        <v>74700</v>
      </c>
      <c r="I2074" s="199" t="s">
        <v>38</v>
      </c>
      <c r="J2074" s="199" t="s">
        <v>415</v>
      </c>
      <c r="K2074" s="201">
        <v>45306</v>
      </c>
      <c r="L2074" s="199" t="s">
        <v>3319</v>
      </c>
      <c r="M2074" s="199" t="s">
        <v>3320</v>
      </c>
    </row>
    <row r="2075" spans="1:13" ht="85.5">
      <c r="A2075" s="199">
        <v>2074</v>
      </c>
      <c r="B2075" s="199" t="s">
        <v>5372</v>
      </c>
      <c r="C2075" s="199" t="s">
        <v>34</v>
      </c>
      <c r="D2075" s="199" t="s">
        <v>35</v>
      </c>
      <c r="E2075" s="199">
        <v>20000</v>
      </c>
      <c r="F2075" s="199" t="s">
        <v>4678</v>
      </c>
      <c r="G2075" s="199" t="s">
        <v>5247</v>
      </c>
      <c r="H2075" s="200">
        <v>35800</v>
      </c>
      <c r="I2075" s="199" t="s">
        <v>38</v>
      </c>
      <c r="J2075" s="199" t="s">
        <v>415</v>
      </c>
      <c r="K2075" s="201">
        <v>45306</v>
      </c>
      <c r="L2075" s="199" t="s">
        <v>3319</v>
      </c>
      <c r="M2075" s="199" t="s">
        <v>3320</v>
      </c>
    </row>
    <row r="2076" spans="1:13" ht="85.5">
      <c r="A2076" s="199">
        <v>2075</v>
      </c>
      <c r="B2076" s="199" t="s">
        <v>5373</v>
      </c>
      <c r="C2076" s="199" t="s">
        <v>34</v>
      </c>
      <c r="D2076" s="199" t="s">
        <v>35</v>
      </c>
      <c r="E2076" s="199">
        <v>100</v>
      </c>
      <c r="F2076" s="199" t="s">
        <v>988</v>
      </c>
      <c r="G2076" s="199" t="s">
        <v>5247</v>
      </c>
      <c r="H2076" s="200">
        <v>1773</v>
      </c>
      <c r="I2076" s="199" t="s">
        <v>38</v>
      </c>
      <c r="J2076" s="199" t="s">
        <v>415</v>
      </c>
      <c r="K2076" s="201">
        <v>45306</v>
      </c>
      <c r="L2076" s="199" t="s">
        <v>3319</v>
      </c>
      <c r="M2076" s="199" t="s">
        <v>3320</v>
      </c>
    </row>
    <row r="2077" spans="1:13" ht="85.5">
      <c r="A2077" s="199">
        <v>2076</v>
      </c>
      <c r="B2077" s="199" t="s">
        <v>5374</v>
      </c>
      <c r="C2077" s="199" t="s">
        <v>34</v>
      </c>
      <c r="D2077" s="199" t="s">
        <v>35</v>
      </c>
      <c r="E2077" s="199">
        <v>135000</v>
      </c>
      <c r="F2077" s="199" t="s">
        <v>5260</v>
      </c>
      <c r="G2077" s="199" t="s">
        <v>5247</v>
      </c>
      <c r="H2077" s="200">
        <v>87750</v>
      </c>
      <c r="I2077" s="199" t="s">
        <v>38</v>
      </c>
      <c r="J2077" s="199" t="s">
        <v>415</v>
      </c>
      <c r="K2077" s="201">
        <v>45306</v>
      </c>
      <c r="L2077" s="199" t="s">
        <v>3319</v>
      </c>
      <c r="M2077" s="199" t="s">
        <v>3320</v>
      </c>
    </row>
    <row r="2078" spans="1:13" ht="85.5">
      <c r="A2078" s="199">
        <v>2077</v>
      </c>
      <c r="B2078" s="199" t="s">
        <v>5374</v>
      </c>
      <c r="C2078" s="199" t="s">
        <v>34</v>
      </c>
      <c r="D2078" s="199" t="s">
        <v>35</v>
      </c>
      <c r="E2078" s="199">
        <v>45000</v>
      </c>
      <c r="F2078" s="199" t="s">
        <v>5260</v>
      </c>
      <c r="G2078" s="199" t="s">
        <v>5247</v>
      </c>
      <c r="H2078" s="200">
        <v>29250</v>
      </c>
      <c r="I2078" s="199" t="s">
        <v>38</v>
      </c>
      <c r="J2078" s="199" t="s">
        <v>415</v>
      </c>
      <c r="K2078" s="201">
        <v>45306</v>
      </c>
      <c r="L2078" s="199" t="s">
        <v>3319</v>
      </c>
      <c r="M2078" s="199" t="s">
        <v>3320</v>
      </c>
    </row>
    <row r="2079" spans="1:13" ht="85.5">
      <c r="A2079" s="199">
        <v>2078</v>
      </c>
      <c r="B2079" s="199" t="s">
        <v>5375</v>
      </c>
      <c r="C2079" s="199" t="s">
        <v>34</v>
      </c>
      <c r="D2079" s="199" t="s">
        <v>35</v>
      </c>
      <c r="E2079" s="199">
        <v>30000</v>
      </c>
      <c r="F2079" s="199" t="s">
        <v>5252</v>
      </c>
      <c r="G2079" s="199" t="s">
        <v>5247</v>
      </c>
      <c r="H2079" s="200">
        <v>47400</v>
      </c>
      <c r="I2079" s="199" t="s">
        <v>38</v>
      </c>
      <c r="J2079" s="199" t="s">
        <v>415</v>
      </c>
      <c r="K2079" s="201">
        <v>45306</v>
      </c>
      <c r="L2079" s="199" t="s">
        <v>3319</v>
      </c>
      <c r="M2079" s="199" t="s">
        <v>3320</v>
      </c>
    </row>
    <row r="2080" spans="1:13" ht="85.5">
      <c r="A2080" s="199">
        <v>2079</v>
      </c>
      <c r="B2080" s="199" t="s">
        <v>5376</v>
      </c>
      <c r="C2080" s="199" t="s">
        <v>34</v>
      </c>
      <c r="D2080" s="199" t="s">
        <v>35</v>
      </c>
      <c r="E2080" s="199">
        <v>600</v>
      </c>
      <c r="F2080" s="199" t="s">
        <v>5250</v>
      </c>
      <c r="G2080" s="199" t="s">
        <v>5247</v>
      </c>
      <c r="H2080" s="200">
        <v>798</v>
      </c>
      <c r="I2080" s="199" t="s">
        <v>38</v>
      </c>
      <c r="J2080" s="199" t="s">
        <v>415</v>
      </c>
      <c r="K2080" s="201">
        <v>45306</v>
      </c>
      <c r="L2080" s="199" t="s">
        <v>3319</v>
      </c>
      <c r="M2080" s="199" t="s">
        <v>3320</v>
      </c>
    </row>
    <row r="2081" spans="1:13" ht="85.5">
      <c r="A2081" s="199">
        <v>2080</v>
      </c>
      <c r="B2081" s="199" t="s">
        <v>5377</v>
      </c>
      <c r="C2081" s="199" t="s">
        <v>34</v>
      </c>
      <c r="D2081" s="199" t="s">
        <v>35</v>
      </c>
      <c r="E2081" s="199">
        <v>120000</v>
      </c>
      <c r="F2081" s="199" t="s">
        <v>4678</v>
      </c>
      <c r="G2081" s="199" t="s">
        <v>5247</v>
      </c>
      <c r="H2081" s="200">
        <v>22800</v>
      </c>
      <c r="I2081" s="199" t="s">
        <v>38</v>
      </c>
      <c r="J2081" s="199" t="s">
        <v>415</v>
      </c>
      <c r="K2081" s="201">
        <v>45306</v>
      </c>
      <c r="L2081" s="199" t="s">
        <v>3319</v>
      </c>
      <c r="M2081" s="199" t="s">
        <v>3320</v>
      </c>
    </row>
    <row r="2082" spans="1:13" ht="85.5">
      <c r="A2082" s="199">
        <v>2081</v>
      </c>
      <c r="B2082" s="199" t="s">
        <v>5378</v>
      </c>
      <c r="C2082" s="199" t="s">
        <v>34</v>
      </c>
      <c r="D2082" s="199" t="s">
        <v>35</v>
      </c>
      <c r="E2082" s="199">
        <v>112500</v>
      </c>
      <c r="F2082" s="199" t="s">
        <v>4678</v>
      </c>
      <c r="G2082" s="199" t="s">
        <v>5247</v>
      </c>
      <c r="H2082" s="200">
        <v>151875</v>
      </c>
      <c r="I2082" s="199" t="s">
        <v>38</v>
      </c>
      <c r="J2082" s="199" t="s">
        <v>415</v>
      </c>
      <c r="K2082" s="201">
        <v>45306</v>
      </c>
      <c r="L2082" s="199" t="s">
        <v>3319</v>
      </c>
      <c r="M2082" s="199" t="s">
        <v>3320</v>
      </c>
    </row>
    <row r="2083" spans="1:13" ht="85.5">
      <c r="A2083" s="199">
        <v>2082</v>
      </c>
      <c r="B2083" s="199" t="s">
        <v>5378</v>
      </c>
      <c r="C2083" s="199" t="s">
        <v>34</v>
      </c>
      <c r="D2083" s="199" t="s">
        <v>35</v>
      </c>
      <c r="E2083" s="199">
        <v>37500</v>
      </c>
      <c r="F2083" s="199" t="s">
        <v>4678</v>
      </c>
      <c r="G2083" s="199" t="s">
        <v>5247</v>
      </c>
      <c r="H2083" s="200">
        <v>50625</v>
      </c>
      <c r="I2083" s="199" t="s">
        <v>38</v>
      </c>
      <c r="J2083" s="199" t="s">
        <v>415</v>
      </c>
      <c r="K2083" s="201">
        <v>45306</v>
      </c>
      <c r="L2083" s="199" t="s">
        <v>3319</v>
      </c>
      <c r="M2083" s="199" t="s">
        <v>3320</v>
      </c>
    </row>
    <row r="2084" spans="1:13" ht="85.5">
      <c r="A2084" s="199">
        <v>2083</v>
      </c>
      <c r="B2084" s="199" t="s">
        <v>5379</v>
      </c>
      <c r="C2084" s="199" t="s">
        <v>34</v>
      </c>
      <c r="D2084" s="199" t="s">
        <v>35</v>
      </c>
      <c r="E2084" s="199">
        <v>300000</v>
      </c>
      <c r="F2084" s="199" t="s">
        <v>4678</v>
      </c>
      <c r="G2084" s="199" t="s">
        <v>5247</v>
      </c>
      <c r="H2084" s="200">
        <v>36000</v>
      </c>
      <c r="I2084" s="199" t="s">
        <v>38</v>
      </c>
      <c r="J2084" s="199" t="s">
        <v>415</v>
      </c>
      <c r="K2084" s="201">
        <v>45306</v>
      </c>
      <c r="L2084" s="199" t="s">
        <v>3319</v>
      </c>
      <c r="M2084" s="199" t="s">
        <v>3320</v>
      </c>
    </row>
    <row r="2085" spans="1:13" ht="85.5">
      <c r="A2085" s="199">
        <v>2084</v>
      </c>
      <c r="B2085" s="199" t="s">
        <v>5380</v>
      </c>
      <c r="C2085" s="199" t="s">
        <v>34</v>
      </c>
      <c r="D2085" s="199" t="s">
        <v>35</v>
      </c>
      <c r="E2085" s="199">
        <v>20000</v>
      </c>
      <c r="F2085" s="199" t="s">
        <v>4678</v>
      </c>
      <c r="G2085" s="199" t="s">
        <v>5247</v>
      </c>
      <c r="H2085" s="200">
        <v>14000</v>
      </c>
      <c r="I2085" s="199" t="s">
        <v>38</v>
      </c>
      <c r="J2085" s="199" t="s">
        <v>415</v>
      </c>
      <c r="K2085" s="201">
        <v>45306</v>
      </c>
      <c r="L2085" s="199" t="s">
        <v>3319</v>
      </c>
      <c r="M2085" s="199" t="s">
        <v>3320</v>
      </c>
    </row>
    <row r="2086" spans="1:13" ht="85.5">
      <c r="A2086" s="199">
        <v>2085</v>
      </c>
      <c r="B2086" s="199" t="s">
        <v>5381</v>
      </c>
      <c r="C2086" s="199" t="s">
        <v>34</v>
      </c>
      <c r="D2086" s="199" t="s">
        <v>35</v>
      </c>
      <c r="E2086" s="199">
        <v>1200</v>
      </c>
      <c r="F2086" s="199" t="s">
        <v>5250</v>
      </c>
      <c r="G2086" s="199" t="s">
        <v>5247</v>
      </c>
      <c r="H2086" s="200">
        <v>936</v>
      </c>
      <c r="I2086" s="199" t="s">
        <v>38</v>
      </c>
      <c r="J2086" s="199" t="s">
        <v>415</v>
      </c>
      <c r="K2086" s="201">
        <v>45306</v>
      </c>
      <c r="L2086" s="199" t="s">
        <v>3319</v>
      </c>
      <c r="M2086" s="199" t="s">
        <v>3320</v>
      </c>
    </row>
    <row r="2087" spans="1:13" ht="85.5">
      <c r="A2087" s="199">
        <v>2086</v>
      </c>
      <c r="B2087" s="199" t="s">
        <v>5382</v>
      </c>
      <c r="C2087" s="199" t="s">
        <v>34</v>
      </c>
      <c r="D2087" s="199" t="s">
        <v>35</v>
      </c>
      <c r="E2087" s="199">
        <v>1200</v>
      </c>
      <c r="F2087" s="199" t="s">
        <v>5250</v>
      </c>
      <c r="G2087" s="199" t="s">
        <v>5247</v>
      </c>
      <c r="H2087" s="200">
        <v>948</v>
      </c>
      <c r="I2087" s="199" t="s">
        <v>38</v>
      </c>
      <c r="J2087" s="199" t="s">
        <v>415</v>
      </c>
      <c r="K2087" s="201">
        <v>45306</v>
      </c>
      <c r="L2087" s="199" t="s">
        <v>3319</v>
      </c>
      <c r="M2087" s="199" t="s">
        <v>3320</v>
      </c>
    </row>
    <row r="2088" spans="1:13" ht="99.75">
      <c r="A2088" s="199">
        <v>2087</v>
      </c>
      <c r="B2088" s="199" t="s">
        <v>5383</v>
      </c>
      <c r="C2088" s="199" t="s">
        <v>34</v>
      </c>
      <c r="D2088" s="199" t="s">
        <v>35</v>
      </c>
      <c r="E2088" s="199">
        <v>3500</v>
      </c>
      <c r="F2088" s="199" t="s">
        <v>988</v>
      </c>
      <c r="G2088" s="199" t="s">
        <v>5247</v>
      </c>
      <c r="H2088" s="200">
        <v>15085</v>
      </c>
      <c r="I2088" s="199" t="s">
        <v>38</v>
      </c>
      <c r="J2088" s="199" t="s">
        <v>415</v>
      </c>
      <c r="K2088" s="201">
        <v>45306</v>
      </c>
      <c r="L2088" s="199" t="s">
        <v>3319</v>
      </c>
      <c r="M2088" s="199" t="s">
        <v>3320</v>
      </c>
    </row>
    <row r="2089" spans="1:13" ht="85.5">
      <c r="A2089" s="199">
        <v>2088</v>
      </c>
      <c r="B2089" s="199" t="s">
        <v>5384</v>
      </c>
      <c r="C2089" s="199" t="s">
        <v>34</v>
      </c>
      <c r="D2089" s="199" t="s">
        <v>35</v>
      </c>
      <c r="E2089" s="199">
        <v>400</v>
      </c>
      <c r="F2089" s="199" t="s">
        <v>988</v>
      </c>
      <c r="G2089" s="199" t="s">
        <v>5247</v>
      </c>
      <c r="H2089" s="200">
        <v>1888</v>
      </c>
      <c r="I2089" s="199" t="s">
        <v>38</v>
      </c>
      <c r="J2089" s="199" t="s">
        <v>415</v>
      </c>
      <c r="K2089" s="201">
        <v>45306</v>
      </c>
      <c r="L2089" s="199" t="s">
        <v>3319</v>
      </c>
      <c r="M2089" s="199" t="s">
        <v>3320</v>
      </c>
    </row>
    <row r="2090" spans="1:13" ht="85.5">
      <c r="A2090" s="199">
        <v>2089</v>
      </c>
      <c r="B2090" s="199" t="s">
        <v>5385</v>
      </c>
      <c r="C2090" s="199" t="s">
        <v>34</v>
      </c>
      <c r="D2090" s="199" t="s">
        <v>35</v>
      </c>
      <c r="E2090" s="199">
        <v>80000</v>
      </c>
      <c r="F2090" s="199" t="s">
        <v>4678</v>
      </c>
      <c r="G2090" s="199" t="s">
        <v>5247</v>
      </c>
      <c r="H2090" s="200">
        <v>29600</v>
      </c>
      <c r="I2090" s="199" t="s">
        <v>38</v>
      </c>
      <c r="J2090" s="199" t="s">
        <v>415</v>
      </c>
      <c r="K2090" s="201">
        <v>45306</v>
      </c>
      <c r="L2090" s="199" t="s">
        <v>3319</v>
      </c>
      <c r="M2090" s="199" t="s">
        <v>3320</v>
      </c>
    </row>
    <row r="2091" spans="1:13" ht="85.5">
      <c r="A2091" s="199">
        <v>2090</v>
      </c>
      <c r="B2091" s="199" t="s">
        <v>5386</v>
      </c>
      <c r="C2091" s="199" t="s">
        <v>34</v>
      </c>
      <c r="D2091" s="199" t="s">
        <v>35</v>
      </c>
      <c r="E2091" s="199">
        <v>400</v>
      </c>
      <c r="F2091" s="199" t="s">
        <v>5250</v>
      </c>
      <c r="G2091" s="199" t="s">
        <v>5247</v>
      </c>
      <c r="H2091" s="200">
        <v>1096</v>
      </c>
      <c r="I2091" s="199" t="s">
        <v>38</v>
      </c>
      <c r="J2091" s="199" t="s">
        <v>415</v>
      </c>
      <c r="K2091" s="201">
        <v>45306</v>
      </c>
      <c r="L2091" s="199" t="s">
        <v>3319</v>
      </c>
      <c r="M2091" s="199" t="s">
        <v>3320</v>
      </c>
    </row>
    <row r="2092" spans="1:13" ht="85.5">
      <c r="A2092" s="199">
        <v>2091</v>
      </c>
      <c r="B2092" s="199" t="s">
        <v>5387</v>
      </c>
      <c r="C2092" s="199" t="s">
        <v>34</v>
      </c>
      <c r="D2092" s="199" t="s">
        <v>35</v>
      </c>
      <c r="E2092" s="199">
        <v>1200</v>
      </c>
      <c r="F2092" s="199" t="s">
        <v>5250</v>
      </c>
      <c r="G2092" s="199" t="s">
        <v>5247</v>
      </c>
      <c r="H2092" s="200">
        <v>14220</v>
      </c>
      <c r="I2092" s="199" t="s">
        <v>38</v>
      </c>
      <c r="J2092" s="199" t="s">
        <v>415</v>
      </c>
      <c r="K2092" s="201">
        <v>45306</v>
      </c>
      <c r="L2092" s="199" t="s">
        <v>3319</v>
      </c>
      <c r="M2092" s="199" t="s">
        <v>3320</v>
      </c>
    </row>
    <row r="2093" spans="1:13" ht="85.5">
      <c r="A2093" s="199">
        <v>2092</v>
      </c>
      <c r="B2093" s="199" t="s">
        <v>5388</v>
      </c>
      <c r="C2093" s="199" t="s">
        <v>34</v>
      </c>
      <c r="D2093" s="199" t="s">
        <v>35</v>
      </c>
      <c r="E2093" s="199">
        <v>500000</v>
      </c>
      <c r="F2093" s="199" t="s">
        <v>4678</v>
      </c>
      <c r="G2093" s="199" t="s">
        <v>5247</v>
      </c>
      <c r="H2093" s="200">
        <v>35000</v>
      </c>
      <c r="I2093" s="199" t="s">
        <v>38</v>
      </c>
      <c r="J2093" s="199" t="s">
        <v>415</v>
      </c>
      <c r="K2093" s="201">
        <v>45306</v>
      </c>
      <c r="L2093" s="199" t="s">
        <v>3319</v>
      </c>
      <c r="M2093" s="199" t="s">
        <v>3320</v>
      </c>
    </row>
    <row r="2094" spans="1:13" ht="85.5">
      <c r="A2094" s="199">
        <v>2093</v>
      </c>
      <c r="B2094" s="199" t="s">
        <v>5389</v>
      </c>
      <c r="C2094" s="199" t="s">
        <v>34</v>
      </c>
      <c r="D2094" s="199" t="s">
        <v>35</v>
      </c>
      <c r="E2094" s="199">
        <v>600</v>
      </c>
      <c r="F2094" s="199" t="s">
        <v>988</v>
      </c>
      <c r="G2094" s="199" t="s">
        <v>5247</v>
      </c>
      <c r="H2094" s="200">
        <v>3114</v>
      </c>
      <c r="I2094" s="199" t="s">
        <v>38</v>
      </c>
      <c r="J2094" s="199" t="s">
        <v>415</v>
      </c>
      <c r="K2094" s="201">
        <v>45306</v>
      </c>
      <c r="L2094" s="199" t="s">
        <v>3319</v>
      </c>
      <c r="M2094" s="199" t="s">
        <v>3320</v>
      </c>
    </row>
    <row r="2095" spans="1:13" ht="85.5">
      <c r="A2095" s="199">
        <v>2094</v>
      </c>
      <c r="B2095" s="199" t="s">
        <v>5390</v>
      </c>
      <c r="C2095" s="199" t="s">
        <v>34</v>
      </c>
      <c r="D2095" s="199" t="s">
        <v>35</v>
      </c>
      <c r="E2095" s="199">
        <v>600</v>
      </c>
      <c r="F2095" s="199" t="s">
        <v>988</v>
      </c>
      <c r="G2095" s="199" t="s">
        <v>5247</v>
      </c>
      <c r="H2095" s="200">
        <v>6258</v>
      </c>
      <c r="I2095" s="199" t="s">
        <v>38</v>
      </c>
      <c r="J2095" s="199" t="s">
        <v>415</v>
      </c>
      <c r="K2095" s="201">
        <v>45306</v>
      </c>
      <c r="L2095" s="199" t="s">
        <v>3319</v>
      </c>
      <c r="M2095" s="199" t="s">
        <v>3320</v>
      </c>
    </row>
    <row r="2096" spans="1:13" ht="85.5">
      <c r="A2096" s="199">
        <v>2095</v>
      </c>
      <c r="B2096" s="199" t="s">
        <v>5391</v>
      </c>
      <c r="C2096" s="199" t="s">
        <v>34</v>
      </c>
      <c r="D2096" s="199" t="s">
        <v>35</v>
      </c>
      <c r="E2096" s="199">
        <v>600</v>
      </c>
      <c r="F2096" s="199" t="s">
        <v>5254</v>
      </c>
      <c r="G2096" s="199" t="s">
        <v>5247</v>
      </c>
      <c r="H2096" s="200">
        <v>8034</v>
      </c>
      <c r="I2096" s="199" t="s">
        <v>38</v>
      </c>
      <c r="J2096" s="199" t="s">
        <v>415</v>
      </c>
      <c r="K2096" s="201">
        <v>45306</v>
      </c>
      <c r="L2096" s="199" t="s">
        <v>3319</v>
      </c>
      <c r="M2096" s="199" t="s">
        <v>3320</v>
      </c>
    </row>
    <row r="2097" spans="1:13" ht="85.5">
      <c r="A2097" s="199">
        <v>2096</v>
      </c>
      <c r="B2097" s="199" t="s">
        <v>5392</v>
      </c>
      <c r="C2097" s="199" t="s">
        <v>34</v>
      </c>
      <c r="D2097" s="199" t="s">
        <v>35</v>
      </c>
      <c r="E2097" s="199">
        <v>600</v>
      </c>
      <c r="F2097" s="199" t="s">
        <v>988</v>
      </c>
      <c r="G2097" s="199" t="s">
        <v>5247</v>
      </c>
      <c r="H2097" s="200">
        <v>3582</v>
      </c>
      <c r="I2097" s="199" t="s">
        <v>38</v>
      </c>
      <c r="J2097" s="199" t="s">
        <v>415</v>
      </c>
      <c r="K2097" s="201">
        <v>45306</v>
      </c>
      <c r="L2097" s="199" t="s">
        <v>3319</v>
      </c>
      <c r="M2097" s="199" t="s">
        <v>3320</v>
      </c>
    </row>
    <row r="2098" spans="1:13" ht="85.5">
      <c r="A2098" s="199">
        <v>2097</v>
      </c>
      <c r="B2098" s="199" t="s">
        <v>5393</v>
      </c>
      <c r="C2098" s="199" t="s">
        <v>34</v>
      </c>
      <c r="D2098" s="199" t="s">
        <v>35</v>
      </c>
      <c r="E2098" s="199">
        <v>80000</v>
      </c>
      <c r="F2098" s="199" t="s">
        <v>4678</v>
      </c>
      <c r="G2098" s="199" t="s">
        <v>5247</v>
      </c>
      <c r="H2098" s="200">
        <v>63200</v>
      </c>
      <c r="I2098" s="199" t="s">
        <v>38</v>
      </c>
      <c r="J2098" s="199" t="s">
        <v>415</v>
      </c>
      <c r="K2098" s="201">
        <v>45306</v>
      </c>
      <c r="L2098" s="199" t="s">
        <v>3319</v>
      </c>
      <c r="M2098" s="199" t="s">
        <v>3320</v>
      </c>
    </row>
    <row r="2099" spans="1:13" ht="142.5">
      <c r="A2099" s="199">
        <v>2098</v>
      </c>
      <c r="B2099" s="199" t="s">
        <v>5394</v>
      </c>
      <c r="C2099" s="199" t="s">
        <v>34</v>
      </c>
      <c r="D2099" s="199" t="s">
        <v>35</v>
      </c>
      <c r="E2099" s="199">
        <v>100</v>
      </c>
      <c r="F2099" s="199" t="s">
        <v>988</v>
      </c>
      <c r="G2099" s="199" t="s">
        <v>5247</v>
      </c>
      <c r="H2099" s="200">
        <v>2116</v>
      </c>
      <c r="I2099" s="199" t="s">
        <v>38</v>
      </c>
      <c r="J2099" s="199" t="s">
        <v>415</v>
      </c>
      <c r="K2099" s="201">
        <v>45306</v>
      </c>
      <c r="L2099" s="199" t="s">
        <v>3319</v>
      </c>
      <c r="M2099" s="199" t="s">
        <v>3320</v>
      </c>
    </row>
    <row r="2100" spans="1:13" ht="85.5">
      <c r="A2100" s="199">
        <v>2099</v>
      </c>
      <c r="B2100" s="199" t="s">
        <v>5395</v>
      </c>
      <c r="C2100" s="199" t="s">
        <v>34</v>
      </c>
      <c r="D2100" s="199" t="s">
        <v>35</v>
      </c>
      <c r="E2100" s="199">
        <v>60000</v>
      </c>
      <c r="F2100" s="199" t="s">
        <v>5260</v>
      </c>
      <c r="G2100" s="199" t="s">
        <v>5247</v>
      </c>
      <c r="H2100" s="200">
        <v>68400</v>
      </c>
      <c r="I2100" s="199" t="s">
        <v>38</v>
      </c>
      <c r="J2100" s="199" t="s">
        <v>415</v>
      </c>
      <c r="K2100" s="201">
        <v>45306</v>
      </c>
      <c r="L2100" s="199" t="s">
        <v>3319</v>
      </c>
      <c r="M2100" s="199" t="s">
        <v>3320</v>
      </c>
    </row>
    <row r="2101" spans="1:13" ht="85.5">
      <c r="A2101" s="199">
        <v>2100</v>
      </c>
      <c r="B2101" s="199" t="s">
        <v>5396</v>
      </c>
      <c r="C2101" s="199" t="s">
        <v>34</v>
      </c>
      <c r="D2101" s="199" t="s">
        <v>35</v>
      </c>
      <c r="E2101" s="199">
        <v>6000</v>
      </c>
      <c r="F2101" s="199" t="s">
        <v>988</v>
      </c>
      <c r="G2101" s="199" t="s">
        <v>5247</v>
      </c>
      <c r="H2101" s="200">
        <v>71280</v>
      </c>
      <c r="I2101" s="199" t="s">
        <v>38</v>
      </c>
      <c r="J2101" s="199" t="s">
        <v>415</v>
      </c>
      <c r="K2101" s="201">
        <v>45306</v>
      </c>
      <c r="L2101" s="199" t="s">
        <v>3319</v>
      </c>
      <c r="M2101" s="199" t="s">
        <v>3320</v>
      </c>
    </row>
    <row r="2102" spans="1:13" ht="85.5">
      <c r="A2102" s="199">
        <v>2101</v>
      </c>
      <c r="B2102" s="199" t="s">
        <v>5397</v>
      </c>
      <c r="C2102" s="199" t="s">
        <v>34</v>
      </c>
      <c r="D2102" s="199" t="s">
        <v>35</v>
      </c>
      <c r="E2102" s="199">
        <v>100000</v>
      </c>
      <c r="F2102" s="199" t="s">
        <v>4678</v>
      </c>
      <c r="G2102" s="199" t="s">
        <v>5247</v>
      </c>
      <c r="H2102" s="200">
        <v>33000</v>
      </c>
      <c r="I2102" s="199" t="s">
        <v>38</v>
      </c>
      <c r="J2102" s="199" t="s">
        <v>415</v>
      </c>
      <c r="K2102" s="201">
        <v>45306</v>
      </c>
      <c r="L2102" s="199" t="s">
        <v>3319</v>
      </c>
      <c r="M2102" s="199" t="s">
        <v>3320</v>
      </c>
    </row>
    <row r="2103" spans="1:13" ht="85.5">
      <c r="A2103" s="199">
        <v>2102</v>
      </c>
      <c r="B2103" s="199" t="s">
        <v>5398</v>
      </c>
      <c r="C2103" s="199" t="s">
        <v>34</v>
      </c>
      <c r="D2103" s="199" t="s">
        <v>35</v>
      </c>
      <c r="E2103" s="199">
        <v>100000</v>
      </c>
      <c r="F2103" s="199" t="s">
        <v>4678</v>
      </c>
      <c r="G2103" s="199" t="s">
        <v>5247</v>
      </c>
      <c r="H2103" s="200">
        <v>58000</v>
      </c>
      <c r="I2103" s="199" t="s">
        <v>38</v>
      </c>
      <c r="J2103" s="199" t="s">
        <v>415</v>
      </c>
      <c r="K2103" s="201">
        <v>45306</v>
      </c>
      <c r="L2103" s="199" t="s">
        <v>3319</v>
      </c>
      <c r="M2103" s="199" t="s">
        <v>3320</v>
      </c>
    </row>
    <row r="2104" spans="1:13" ht="99.75">
      <c r="A2104" s="199">
        <v>2103</v>
      </c>
      <c r="B2104" s="199" t="s">
        <v>5399</v>
      </c>
      <c r="C2104" s="199" t="s">
        <v>34</v>
      </c>
      <c r="D2104" s="199" t="s">
        <v>35</v>
      </c>
      <c r="E2104" s="199">
        <v>400</v>
      </c>
      <c r="F2104" s="199" t="s">
        <v>5250</v>
      </c>
      <c r="G2104" s="199" t="s">
        <v>5247</v>
      </c>
      <c r="H2104" s="200">
        <v>904</v>
      </c>
      <c r="I2104" s="199" t="s">
        <v>38</v>
      </c>
      <c r="J2104" s="199" t="s">
        <v>415</v>
      </c>
      <c r="K2104" s="201">
        <v>45306</v>
      </c>
      <c r="L2104" s="199" t="s">
        <v>3319</v>
      </c>
      <c r="M2104" s="199" t="s">
        <v>3320</v>
      </c>
    </row>
    <row r="2105" spans="1:13" ht="85.5">
      <c r="A2105" s="199">
        <v>2104</v>
      </c>
      <c r="B2105" s="199" t="s">
        <v>5400</v>
      </c>
      <c r="C2105" s="199" t="s">
        <v>34</v>
      </c>
      <c r="D2105" s="199" t="s">
        <v>35</v>
      </c>
      <c r="E2105" s="199">
        <v>75200</v>
      </c>
      <c r="F2105" s="199" t="s">
        <v>4678</v>
      </c>
      <c r="G2105" s="199" t="s">
        <v>5247</v>
      </c>
      <c r="H2105" s="200">
        <v>18048</v>
      </c>
      <c r="I2105" s="199" t="s">
        <v>38</v>
      </c>
      <c r="J2105" s="199" t="s">
        <v>415</v>
      </c>
      <c r="K2105" s="201">
        <v>45306</v>
      </c>
      <c r="L2105" s="199" t="s">
        <v>3319</v>
      </c>
      <c r="M2105" s="199" t="s">
        <v>3320</v>
      </c>
    </row>
    <row r="2106" spans="1:13" ht="85.5">
      <c r="A2106" s="199">
        <v>2105</v>
      </c>
      <c r="B2106" s="199" t="s">
        <v>5401</v>
      </c>
      <c r="C2106" s="199" t="s">
        <v>34</v>
      </c>
      <c r="D2106" s="199" t="s">
        <v>35</v>
      </c>
      <c r="E2106" s="199">
        <v>10000</v>
      </c>
      <c r="F2106" s="199" t="s">
        <v>5260</v>
      </c>
      <c r="G2106" s="199" t="s">
        <v>5247</v>
      </c>
      <c r="H2106" s="200">
        <v>32400</v>
      </c>
      <c r="I2106" s="199" t="s">
        <v>38</v>
      </c>
      <c r="J2106" s="199" t="s">
        <v>415</v>
      </c>
      <c r="K2106" s="201">
        <v>45306</v>
      </c>
      <c r="L2106" s="199" t="s">
        <v>3319</v>
      </c>
      <c r="M2106" s="199" t="s">
        <v>3320</v>
      </c>
    </row>
    <row r="2107" spans="1:13" ht="85.5">
      <c r="A2107" s="199">
        <v>2106</v>
      </c>
      <c r="B2107" s="199" t="s">
        <v>5402</v>
      </c>
      <c r="C2107" s="199" t="s">
        <v>34</v>
      </c>
      <c r="D2107" s="199" t="s">
        <v>35</v>
      </c>
      <c r="E2107" s="199">
        <v>20000</v>
      </c>
      <c r="F2107" s="199" t="s">
        <v>4678</v>
      </c>
      <c r="G2107" s="199" t="s">
        <v>5247</v>
      </c>
      <c r="H2107" s="200">
        <v>67200</v>
      </c>
      <c r="I2107" s="199" t="s">
        <v>38</v>
      </c>
      <c r="J2107" s="199" t="s">
        <v>415</v>
      </c>
      <c r="K2107" s="201">
        <v>45306</v>
      </c>
      <c r="L2107" s="199" t="s">
        <v>3319</v>
      </c>
      <c r="M2107" s="199" t="s">
        <v>3320</v>
      </c>
    </row>
    <row r="2108" spans="1:13" ht="85.5">
      <c r="A2108" s="199">
        <v>2107</v>
      </c>
      <c r="B2108" s="199" t="s">
        <v>5403</v>
      </c>
      <c r="C2108" s="199" t="s">
        <v>34</v>
      </c>
      <c r="D2108" s="199" t="s">
        <v>35</v>
      </c>
      <c r="E2108" s="199">
        <v>2400</v>
      </c>
      <c r="F2108" s="199" t="s">
        <v>988</v>
      </c>
      <c r="G2108" s="199" t="s">
        <v>5247</v>
      </c>
      <c r="H2108" s="200">
        <v>41904</v>
      </c>
      <c r="I2108" s="199" t="s">
        <v>38</v>
      </c>
      <c r="J2108" s="199" t="s">
        <v>415</v>
      </c>
      <c r="K2108" s="201">
        <v>45306</v>
      </c>
      <c r="L2108" s="199" t="s">
        <v>3319</v>
      </c>
      <c r="M2108" s="199" t="s">
        <v>3320</v>
      </c>
    </row>
    <row r="2109" spans="1:13" ht="85.5">
      <c r="A2109" s="199">
        <v>2108</v>
      </c>
      <c r="B2109" s="199" t="s">
        <v>5404</v>
      </c>
      <c r="C2109" s="199" t="s">
        <v>34</v>
      </c>
      <c r="D2109" s="199" t="s">
        <v>35</v>
      </c>
      <c r="E2109" s="199">
        <v>40000</v>
      </c>
      <c r="F2109" s="199" t="s">
        <v>5260</v>
      </c>
      <c r="G2109" s="199" t="s">
        <v>5247</v>
      </c>
      <c r="H2109" s="200">
        <v>67200</v>
      </c>
      <c r="I2109" s="199" t="s">
        <v>38</v>
      </c>
      <c r="J2109" s="199" t="s">
        <v>415</v>
      </c>
      <c r="K2109" s="201">
        <v>45306</v>
      </c>
      <c r="L2109" s="199" t="s">
        <v>3319</v>
      </c>
      <c r="M2109" s="199" t="s">
        <v>3320</v>
      </c>
    </row>
    <row r="2110" spans="1:13" ht="85.5">
      <c r="A2110" s="199">
        <v>2109</v>
      </c>
      <c r="B2110" s="199" t="s">
        <v>5405</v>
      </c>
      <c r="C2110" s="199" t="s">
        <v>34</v>
      </c>
      <c r="D2110" s="199" t="s">
        <v>35</v>
      </c>
      <c r="E2110" s="199">
        <v>39000</v>
      </c>
      <c r="F2110" s="199" t="s">
        <v>4678</v>
      </c>
      <c r="G2110" s="199" t="s">
        <v>5247</v>
      </c>
      <c r="H2110" s="200">
        <v>65910</v>
      </c>
      <c r="I2110" s="199" t="s">
        <v>38</v>
      </c>
      <c r="J2110" s="199" t="s">
        <v>415</v>
      </c>
      <c r="K2110" s="201">
        <v>45306</v>
      </c>
      <c r="L2110" s="199" t="s">
        <v>3319</v>
      </c>
      <c r="M2110" s="199" t="s">
        <v>3320</v>
      </c>
    </row>
    <row r="2111" spans="1:13" ht="85.5">
      <c r="A2111" s="199">
        <v>2110</v>
      </c>
      <c r="B2111" s="199" t="s">
        <v>5405</v>
      </c>
      <c r="C2111" s="199" t="s">
        <v>34</v>
      </c>
      <c r="D2111" s="199" t="s">
        <v>35</v>
      </c>
      <c r="E2111" s="199">
        <v>13000</v>
      </c>
      <c r="F2111" s="199" t="s">
        <v>4678</v>
      </c>
      <c r="G2111" s="199" t="s">
        <v>5247</v>
      </c>
      <c r="H2111" s="200">
        <v>21970</v>
      </c>
      <c r="I2111" s="199" t="s">
        <v>38</v>
      </c>
      <c r="J2111" s="199" t="s">
        <v>415</v>
      </c>
      <c r="K2111" s="201">
        <v>45306</v>
      </c>
      <c r="L2111" s="199" t="s">
        <v>3319</v>
      </c>
      <c r="M2111" s="199" t="s">
        <v>3320</v>
      </c>
    </row>
    <row r="2112" spans="1:13" ht="85.5">
      <c r="A2112" s="199">
        <v>2111</v>
      </c>
      <c r="B2112" s="199" t="s">
        <v>5406</v>
      </c>
      <c r="C2112" s="199" t="s">
        <v>34</v>
      </c>
      <c r="D2112" s="199" t="s">
        <v>35</v>
      </c>
      <c r="E2112" s="199">
        <v>39000</v>
      </c>
      <c r="F2112" s="199" t="s">
        <v>4678</v>
      </c>
      <c r="G2112" s="199" t="s">
        <v>5247</v>
      </c>
      <c r="H2112" s="200">
        <v>159900</v>
      </c>
      <c r="I2112" s="199" t="s">
        <v>38</v>
      </c>
      <c r="J2112" s="199" t="s">
        <v>415</v>
      </c>
      <c r="K2112" s="201">
        <v>45306</v>
      </c>
      <c r="L2112" s="199" t="s">
        <v>3319</v>
      </c>
      <c r="M2112" s="199" t="s">
        <v>3320</v>
      </c>
    </row>
    <row r="2113" spans="1:13" ht="85.5">
      <c r="A2113" s="199">
        <v>2112</v>
      </c>
      <c r="B2113" s="199" t="s">
        <v>5406</v>
      </c>
      <c r="C2113" s="199" t="s">
        <v>34</v>
      </c>
      <c r="D2113" s="199" t="s">
        <v>35</v>
      </c>
      <c r="E2113" s="199">
        <v>13000</v>
      </c>
      <c r="F2113" s="199" t="s">
        <v>4678</v>
      </c>
      <c r="G2113" s="199" t="s">
        <v>5247</v>
      </c>
      <c r="H2113" s="200">
        <v>53300</v>
      </c>
      <c r="I2113" s="199" t="s">
        <v>38</v>
      </c>
      <c r="J2113" s="199" t="s">
        <v>415</v>
      </c>
      <c r="K2113" s="201">
        <v>45306</v>
      </c>
      <c r="L2113" s="199" t="s">
        <v>3319</v>
      </c>
      <c r="M2113" s="199" t="s">
        <v>3320</v>
      </c>
    </row>
    <row r="2114" spans="1:13" ht="85.5">
      <c r="A2114" s="199">
        <v>2113</v>
      </c>
      <c r="B2114" s="199" t="s">
        <v>5407</v>
      </c>
      <c r="C2114" s="199" t="s">
        <v>34</v>
      </c>
      <c r="D2114" s="199" t="s">
        <v>35</v>
      </c>
      <c r="E2114" s="199">
        <v>15200</v>
      </c>
      <c r="F2114" s="199" t="s">
        <v>4678</v>
      </c>
      <c r="G2114" s="199" t="s">
        <v>5247</v>
      </c>
      <c r="H2114" s="200">
        <v>30096</v>
      </c>
      <c r="I2114" s="199" t="s">
        <v>38</v>
      </c>
      <c r="J2114" s="199" t="s">
        <v>415</v>
      </c>
      <c r="K2114" s="201">
        <v>45306</v>
      </c>
      <c r="L2114" s="199" t="s">
        <v>3319</v>
      </c>
      <c r="M2114" s="199" t="s">
        <v>3320</v>
      </c>
    </row>
    <row r="2115" spans="1:13" ht="85.5">
      <c r="A2115" s="199">
        <v>2114</v>
      </c>
      <c r="B2115" s="199" t="s">
        <v>5408</v>
      </c>
      <c r="C2115" s="199" t="s">
        <v>34</v>
      </c>
      <c r="D2115" s="199" t="s">
        <v>35</v>
      </c>
      <c r="E2115" s="199">
        <v>1200</v>
      </c>
      <c r="F2115" s="199" t="s">
        <v>4678</v>
      </c>
      <c r="G2115" s="199" t="s">
        <v>5247</v>
      </c>
      <c r="H2115" s="200">
        <v>4320</v>
      </c>
      <c r="I2115" s="199" t="s">
        <v>38</v>
      </c>
      <c r="J2115" s="199" t="s">
        <v>415</v>
      </c>
      <c r="K2115" s="201">
        <v>45306</v>
      </c>
      <c r="L2115" s="199" t="s">
        <v>3319</v>
      </c>
      <c r="M2115" s="199" t="s">
        <v>3320</v>
      </c>
    </row>
    <row r="2116" spans="1:13" ht="85.5">
      <c r="A2116" s="199">
        <v>2115</v>
      </c>
      <c r="B2116" s="199" t="s">
        <v>5409</v>
      </c>
      <c r="C2116" s="199" t="s">
        <v>34</v>
      </c>
      <c r="D2116" s="199" t="s">
        <v>35</v>
      </c>
      <c r="E2116" s="199">
        <v>75000</v>
      </c>
      <c r="F2116" s="199" t="s">
        <v>4678</v>
      </c>
      <c r="G2116" s="199" t="s">
        <v>5247</v>
      </c>
      <c r="H2116" s="200">
        <v>94500</v>
      </c>
      <c r="I2116" s="199" t="s">
        <v>38</v>
      </c>
      <c r="J2116" s="199" t="s">
        <v>415</v>
      </c>
      <c r="K2116" s="201">
        <v>45306</v>
      </c>
      <c r="L2116" s="199" t="s">
        <v>3319</v>
      </c>
      <c r="M2116" s="199" t="s">
        <v>3320</v>
      </c>
    </row>
    <row r="2117" spans="1:13" ht="85.5">
      <c r="A2117" s="199">
        <v>2116</v>
      </c>
      <c r="B2117" s="199" t="s">
        <v>5409</v>
      </c>
      <c r="C2117" s="199" t="s">
        <v>34</v>
      </c>
      <c r="D2117" s="199" t="s">
        <v>35</v>
      </c>
      <c r="E2117" s="199">
        <v>25000</v>
      </c>
      <c r="F2117" s="199" t="s">
        <v>4678</v>
      </c>
      <c r="G2117" s="199" t="s">
        <v>5247</v>
      </c>
      <c r="H2117" s="200">
        <v>31500</v>
      </c>
      <c r="I2117" s="199" t="s">
        <v>38</v>
      </c>
      <c r="J2117" s="199" t="s">
        <v>415</v>
      </c>
      <c r="K2117" s="201">
        <v>45306</v>
      </c>
      <c r="L2117" s="199" t="s">
        <v>3319</v>
      </c>
      <c r="M2117" s="199" t="s">
        <v>3320</v>
      </c>
    </row>
    <row r="2118" spans="1:13" ht="85.5">
      <c r="A2118" s="199">
        <v>2117</v>
      </c>
      <c r="B2118" s="199" t="s">
        <v>5410</v>
      </c>
      <c r="C2118" s="199" t="s">
        <v>34</v>
      </c>
      <c r="D2118" s="199" t="s">
        <v>35</v>
      </c>
      <c r="E2118" s="199">
        <v>1000</v>
      </c>
      <c r="F2118" s="199" t="s">
        <v>988</v>
      </c>
      <c r="G2118" s="199" t="s">
        <v>5247</v>
      </c>
      <c r="H2118" s="200">
        <v>16660</v>
      </c>
      <c r="I2118" s="199" t="s">
        <v>38</v>
      </c>
      <c r="J2118" s="199" t="s">
        <v>415</v>
      </c>
      <c r="K2118" s="201">
        <v>45306</v>
      </c>
      <c r="L2118" s="199" t="s">
        <v>3319</v>
      </c>
      <c r="M2118" s="199" t="s">
        <v>3320</v>
      </c>
    </row>
    <row r="2119" spans="1:13" ht="85.5">
      <c r="A2119" s="199">
        <v>2118</v>
      </c>
      <c r="B2119" s="199" t="s">
        <v>5411</v>
      </c>
      <c r="C2119" s="199" t="s">
        <v>34</v>
      </c>
      <c r="D2119" s="199" t="s">
        <v>35</v>
      </c>
      <c r="E2119" s="199">
        <v>21000</v>
      </c>
      <c r="F2119" s="199" t="s">
        <v>4678</v>
      </c>
      <c r="G2119" s="199" t="s">
        <v>5247</v>
      </c>
      <c r="H2119" s="200">
        <v>3990</v>
      </c>
      <c r="I2119" s="199" t="s">
        <v>38</v>
      </c>
      <c r="J2119" s="199" t="s">
        <v>415</v>
      </c>
      <c r="K2119" s="201">
        <v>45306</v>
      </c>
      <c r="L2119" s="199" t="s">
        <v>3319</v>
      </c>
      <c r="M2119" s="199" t="s">
        <v>3320</v>
      </c>
    </row>
    <row r="2120" spans="1:13" ht="85.5">
      <c r="A2120" s="199">
        <v>2119</v>
      </c>
      <c r="B2120" s="199" t="s">
        <v>5412</v>
      </c>
      <c r="C2120" s="199" t="s">
        <v>34</v>
      </c>
      <c r="D2120" s="199" t="s">
        <v>35</v>
      </c>
      <c r="E2120" s="199">
        <v>187500</v>
      </c>
      <c r="F2120" s="199" t="s">
        <v>4678</v>
      </c>
      <c r="G2120" s="199" t="s">
        <v>5247</v>
      </c>
      <c r="H2120" s="200">
        <v>80625</v>
      </c>
      <c r="I2120" s="199" t="s">
        <v>38</v>
      </c>
      <c r="J2120" s="199" t="s">
        <v>415</v>
      </c>
      <c r="K2120" s="201">
        <v>45306</v>
      </c>
      <c r="L2120" s="199" t="s">
        <v>3319</v>
      </c>
      <c r="M2120" s="199" t="s">
        <v>3320</v>
      </c>
    </row>
    <row r="2121" spans="1:13" ht="85.5">
      <c r="A2121" s="199">
        <v>2120</v>
      </c>
      <c r="B2121" s="199" t="s">
        <v>5412</v>
      </c>
      <c r="C2121" s="199" t="s">
        <v>34</v>
      </c>
      <c r="D2121" s="199" t="s">
        <v>35</v>
      </c>
      <c r="E2121" s="199">
        <v>62500</v>
      </c>
      <c r="F2121" s="199" t="s">
        <v>4678</v>
      </c>
      <c r="G2121" s="199" t="s">
        <v>5247</v>
      </c>
      <c r="H2121" s="200">
        <v>26875</v>
      </c>
      <c r="I2121" s="199" t="s">
        <v>38</v>
      </c>
      <c r="J2121" s="199" t="s">
        <v>415</v>
      </c>
      <c r="K2121" s="201">
        <v>45306</v>
      </c>
      <c r="L2121" s="199" t="s">
        <v>3319</v>
      </c>
      <c r="M2121" s="199" t="s">
        <v>3320</v>
      </c>
    </row>
    <row r="2122" spans="1:13" ht="85.5">
      <c r="A2122" s="199">
        <v>2121</v>
      </c>
      <c r="B2122" s="199" t="s">
        <v>5413</v>
      </c>
      <c r="C2122" s="199" t="s">
        <v>34</v>
      </c>
      <c r="D2122" s="199" t="s">
        <v>35</v>
      </c>
      <c r="E2122" s="199">
        <v>345000</v>
      </c>
      <c r="F2122" s="199" t="s">
        <v>4678</v>
      </c>
      <c r="G2122" s="199" t="s">
        <v>5247</v>
      </c>
      <c r="H2122" s="200">
        <v>134550</v>
      </c>
      <c r="I2122" s="199" t="s">
        <v>38</v>
      </c>
      <c r="J2122" s="199" t="s">
        <v>415</v>
      </c>
      <c r="K2122" s="201">
        <v>45306</v>
      </c>
      <c r="L2122" s="199" t="s">
        <v>3319</v>
      </c>
      <c r="M2122" s="199" t="s">
        <v>3320</v>
      </c>
    </row>
    <row r="2123" spans="1:13" ht="85.5">
      <c r="A2123" s="199">
        <v>2122</v>
      </c>
      <c r="B2123" s="199" t="s">
        <v>5413</v>
      </c>
      <c r="C2123" s="199" t="s">
        <v>34</v>
      </c>
      <c r="D2123" s="199" t="s">
        <v>35</v>
      </c>
      <c r="E2123" s="199">
        <v>115000</v>
      </c>
      <c r="F2123" s="199" t="s">
        <v>4678</v>
      </c>
      <c r="G2123" s="199" t="s">
        <v>5247</v>
      </c>
      <c r="H2123" s="200">
        <v>44850</v>
      </c>
      <c r="I2123" s="199" t="s">
        <v>38</v>
      </c>
      <c r="J2123" s="199" t="s">
        <v>415</v>
      </c>
      <c r="K2123" s="201">
        <v>45306</v>
      </c>
      <c r="L2123" s="199" t="s">
        <v>3319</v>
      </c>
      <c r="M2123" s="199" t="s">
        <v>3320</v>
      </c>
    </row>
    <row r="2124" spans="1:13" ht="85.5">
      <c r="A2124" s="199">
        <v>2123</v>
      </c>
      <c r="B2124" s="199" t="s">
        <v>5414</v>
      </c>
      <c r="C2124" s="199" t="s">
        <v>34</v>
      </c>
      <c r="D2124" s="199" t="s">
        <v>35</v>
      </c>
      <c r="E2124" s="199">
        <v>345000</v>
      </c>
      <c r="F2124" s="199" t="s">
        <v>4678</v>
      </c>
      <c r="G2124" s="199" t="s">
        <v>5247</v>
      </c>
      <c r="H2124" s="200">
        <v>144900</v>
      </c>
      <c r="I2124" s="199" t="s">
        <v>38</v>
      </c>
      <c r="J2124" s="199" t="s">
        <v>415</v>
      </c>
      <c r="K2124" s="201">
        <v>45306</v>
      </c>
      <c r="L2124" s="199" t="s">
        <v>3319</v>
      </c>
      <c r="M2124" s="199" t="s">
        <v>3320</v>
      </c>
    </row>
    <row r="2125" spans="1:13" ht="85.5">
      <c r="A2125" s="199">
        <v>2124</v>
      </c>
      <c r="B2125" s="199" t="s">
        <v>5414</v>
      </c>
      <c r="C2125" s="199" t="s">
        <v>34</v>
      </c>
      <c r="D2125" s="199" t="s">
        <v>35</v>
      </c>
      <c r="E2125" s="199">
        <v>115000</v>
      </c>
      <c r="F2125" s="199" t="s">
        <v>4678</v>
      </c>
      <c r="G2125" s="199" t="s">
        <v>5247</v>
      </c>
      <c r="H2125" s="200">
        <v>48300</v>
      </c>
      <c r="I2125" s="199" t="s">
        <v>38</v>
      </c>
      <c r="J2125" s="199" t="s">
        <v>415</v>
      </c>
      <c r="K2125" s="201">
        <v>45306</v>
      </c>
      <c r="L2125" s="199" t="s">
        <v>3319</v>
      </c>
      <c r="M2125" s="199" t="s">
        <v>3320</v>
      </c>
    </row>
    <row r="2126" spans="1:13" ht="85.5">
      <c r="A2126" s="199">
        <v>2125</v>
      </c>
      <c r="B2126" s="199" t="s">
        <v>5415</v>
      </c>
      <c r="C2126" s="199" t="s">
        <v>34</v>
      </c>
      <c r="D2126" s="199" t="s">
        <v>35</v>
      </c>
      <c r="E2126" s="199">
        <v>600</v>
      </c>
      <c r="F2126" s="199" t="s">
        <v>988</v>
      </c>
      <c r="G2126" s="199" t="s">
        <v>5247</v>
      </c>
      <c r="H2126" s="200">
        <v>4746</v>
      </c>
      <c r="I2126" s="199" t="s">
        <v>38</v>
      </c>
      <c r="J2126" s="199" t="s">
        <v>415</v>
      </c>
      <c r="K2126" s="201">
        <v>45306</v>
      </c>
      <c r="L2126" s="199" t="s">
        <v>3319</v>
      </c>
      <c r="M2126" s="199" t="s">
        <v>3320</v>
      </c>
    </row>
    <row r="2127" spans="1:13" ht="85.5">
      <c r="A2127" s="199">
        <v>2126</v>
      </c>
      <c r="B2127" s="199" t="s">
        <v>5416</v>
      </c>
      <c r="C2127" s="199" t="s">
        <v>34</v>
      </c>
      <c r="D2127" s="199" t="s">
        <v>35</v>
      </c>
      <c r="E2127" s="199">
        <v>600</v>
      </c>
      <c r="F2127" s="199" t="s">
        <v>5250</v>
      </c>
      <c r="G2127" s="199" t="s">
        <v>5247</v>
      </c>
      <c r="H2127" s="200">
        <v>1032</v>
      </c>
      <c r="I2127" s="199" t="s">
        <v>38</v>
      </c>
      <c r="J2127" s="199" t="s">
        <v>415</v>
      </c>
      <c r="K2127" s="201">
        <v>45306</v>
      </c>
      <c r="L2127" s="199" t="s">
        <v>3319</v>
      </c>
      <c r="M2127" s="199" t="s">
        <v>3320</v>
      </c>
    </row>
    <row r="2128" spans="1:13" ht="128.25">
      <c r="A2128" s="199">
        <v>2127</v>
      </c>
      <c r="B2128" s="199" t="s">
        <v>5417</v>
      </c>
      <c r="C2128" s="199" t="s">
        <v>34</v>
      </c>
      <c r="D2128" s="199" t="s">
        <v>35</v>
      </c>
      <c r="E2128" s="199">
        <v>600</v>
      </c>
      <c r="F2128" s="199" t="s">
        <v>988</v>
      </c>
      <c r="G2128" s="199" t="s">
        <v>5247</v>
      </c>
      <c r="H2128" s="200">
        <v>4506</v>
      </c>
      <c r="I2128" s="199" t="s">
        <v>38</v>
      </c>
      <c r="J2128" s="199" t="s">
        <v>415</v>
      </c>
      <c r="K2128" s="201">
        <v>45306</v>
      </c>
      <c r="L2128" s="199" t="s">
        <v>3319</v>
      </c>
      <c r="M2128" s="199" t="s">
        <v>3320</v>
      </c>
    </row>
    <row r="2129" spans="1:13" ht="85.5">
      <c r="A2129" s="199">
        <v>2128</v>
      </c>
      <c r="B2129" s="199" t="s">
        <v>5418</v>
      </c>
      <c r="C2129" s="199" t="s">
        <v>34</v>
      </c>
      <c r="D2129" s="199" t="s">
        <v>35</v>
      </c>
      <c r="E2129" s="199">
        <v>48000</v>
      </c>
      <c r="F2129" s="199" t="s">
        <v>4678</v>
      </c>
      <c r="G2129" s="199" t="s">
        <v>5247</v>
      </c>
      <c r="H2129" s="200">
        <v>24480</v>
      </c>
      <c r="I2129" s="199" t="s">
        <v>38</v>
      </c>
      <c r="J2129" s="199" t="s">
        <v>415</v>
      </c>
      <c r="K2129" s="201">
        <v>45306</v>
      </c>
      <c r="L2129" s="199" t="s">
        <v>3319</v>
      </c>
      <c r="M2129" s="199" t="s">
        <v>3320</v>
      </c>
    </row>
    <row r="2130" spans="1:13" ht="85.5">
      <c r="A2130" s="199">
        <v>2129</v>
      </c>
      <c r="B2130" s="199" t="s">
        <v>5419</v>
      </c>
      <c r="C2130" s="199" t="s">
        <v>34</v>
      </c>
      <c r="D2130" s="199" t="s">
        <v>35</v>
      </c>
      <c r="E2130" s="199">
        <v>2600</v>
      </c>
      <c r="F2130" s="199" t="s">
        <v>988</v>
      </c>
      <c r="G2130" s="199" t="s">
        <v>5247</v>
      </c>
      <c r="H2130" s="200">
        <v>15184</v>
      </c>
      <c r="I2130" s="199" t="s">
        <v>38</v>
      </c>
      <c r="J2130" s="199" t="s">
        <v>415</v>
      </c>
      <c r="K2130" s="201">
        <v>45306</v>
      </c>
      <c r="L2130" s="199" t="s">
        <v>3319</v>
      </c>
      <c r="M2130" s="199" t="s">
        <v>3320</v>
      </c>
    </row>
    <row r="2131" spans="1:13" ht="85.5">
      <c r="A2131" s="199">
        <v>2130</v>
      </c>
      <c r="B2131" s="199" t="s">
        <v>5420</v>
      </c>
      <c r="C2131" s="199" t="s">
        <v>34</v>
      </c>
      <c r="D2131" s="199" t="s">
        <v>35</v>
      </c>
      <c r="E2131" s="199">
        <v>2625000</v>
      </c>
      <c r="F2131" s="199" t="s">
        <v>4678</v>
      </c>
      <c r="G2131" s="199" t="s">
        <v>5247</v>
      </c>
      <c r="H2131" s="200">
        <v>577500</v>
      </c>
      <c r="I2131" s="199" t="s">
        <v>38</v>
      </c>
      <c r="J2131" s="199" t="s">
        <v>415</v>
      </c>
      <c r="K2131" s="201">
        <v>45306</v>
      </c>
      <c r="L2131" s="199" t="s">
        <v>3319</v>
      </c>
      <c r="M2131" s="199" t="s">
        <v>3320</v>
      </c>
    </row>
    <row r="2132" spans="1:13" ht="85.5">
      <c r="A2132" s="199">
        <v>2131</v>
      </c>
      <c r="B2132" s="199" t="s">
        <v>5420</v>
      </c>
      <c r="C2132" s="199" t="s">
        <v>34</v>
      </c>
      <c r="D2132" s="199" t="s">
        <v>35</v>
      </c>
      <c r="E2132" s="199">
        <v>875000</v>
      </c>
      <c r="F2132" s="199" t="s">
        <v>4678</v>
      </c>
      <c r="G2132" s="199" t="s">
        <v>5247</v>
      </c>
      <c r="H2132" s="200">
        <v>192500</v>
      </c>
      <c r="I2132" s="199" t="s">
        <v>38</v>
      </c>
      <c r="J2132" s="199" t="s">
        <v>415</v>
      </c>
      <c r="K2132" s="201">
        <v>45306</v>
      </c>
      <c r="L2132" s="199" t="s">
        <v>3319</v>
      </c>
      <c r="M2132" s="199" t="s">
        <v>3320</v>
      </c>
    </row>
    <row r="2133" spans="1:13" ht="85.5">
      <c r="A2133" s="199">
        <v>2132</v>
      </c>
      <c r="B2133" s="199" t="s">
        <v>5421</v>
      </c>
      <c r="C2133" s="199" t="s">
        <v>34</v>
      </c>
      <c r="D2133" s="199" t="s">
        <v>35</v>
      </c>
      <c r="E2133" s="199">
        <v>4200</v>
      </c>
      <c r="F2133" s="199" t="s">
        <v>4678</v>
      </c>
      <c r="G2133" s="199" t="s">
        <v>5247</v>
      </c>
      <c r="H2133" s="200">
        <v>3192</v>
      </c>
      <c r="I2133" s="199" t="s">
        <v>38</v>
      </c>
      <c r="J2133" s="199" t="s">
        <v>415</v>
      </c>
      <c r="K2133" s="201">
        <v>45306</v>
      </c>
      <c r="L2133" s="199" t="s">
        <v>3319</v>
      </c>
      <c r="M2133" s="199" t="s">
        <v>3320</v>
      </c>
    </row>
    <row r="2134" spans="1:13" ht="85.5">
      <c r="A2134" s="199">
        <v>2133</v>
      </c>
      <c r="B2134" s="199" t="s">
        <v>5422</v>
      </c>
      <c r="C2134" s="199" t="s">
        <v>34</v>
      </c>
      <c r="D2134" s="199" t="s">
        <v>35</v>
      </c>
      <c r="E2134" s="199">
        <v>1600</v>
      </c>
      <c r="F2134" s="199" t="s">
        <v>988</v>
      </c>
      <c r="G2134" s="199" t="s">
        <v>5247</v>
      </c>
      <c r="H2134" s="200">
        <v>3344</v>
      </c>
      <c r="I2134" s="199" t="s">
        <v>38</v>
      </c>
      <c r="J2134" s="199" t="s">
        <v>415</v>
      </c>
      <c r="K2134" s="201">
        <v>45306</v>
      </c>
      <c r="L2134" s="199" t="s">
        <v>3319</v>
      </c>
      <c r="M2134" s="199" t="s">
        <v>3320</v>
      </c>
    </row>
    <row r="2135" spans="1:13" ht="85.5">
      <c r="A2135" s="199">
        <v>2134</v>
      </c>
      <c r="B2135" s="199" t="s">
        <v>5423</v>
      </c>
      <c r="C2135" s="199" t="s">
        <v>34</v>
      </c>
      <c r="D2135" s="199" t="s">
        <v>35</v>
      </c>
      <c r="E2135" s="199">
        <v>600000</v>
      </c>
      <c r="F2135" s="199" t="s">
        <v>4678</v>
      </c>
      <c r="G2135" s="199" t="s">
        <v>5247</v>
      </c>
      <c r="H2135" s="200">
        <v>126000</v>
      </c>
      <c r="I2135" s="199" t="s">
        <v>38</v>
      </c>
      <c r="J2135" s="199" t="s">
        <v>415</v>
      </c>
      <c r="K2135" s="201">
        <v>45306</v>
      </c>
      <c r="L2135" s="199" t="s">
        <v>3319</v>
      </c>
      <c r="M2135" s="199" t="s">
        <v>3320</v>
      </c>
    </row>
    <row r="2136" spans="1:13" ht="85.5">
      <c r="A2136" s="199">
        <v>2135</v>
      </c>
      <c r="B2136" s="199" t="s">
        <v>5423</v>
      </c>
      <c r="C2136" s="199" t="s">
        <v>34</v>
      </c>
      <c r="D2136" s="199" t="s">
        <v>35</v>
      </c>
      <c r="E2136" s="199">
        <v>200000</v>
      </c>
      <c r="F2136" s="199" t="s">
        <v>4678</v>
      </c>
      <c r="G2136" s="199" t="s">
        <v>5247</v>
      </c>
      <c r="H2136" s="200">
        <v>42000</v>
      </c>
      <c r="I2136" s="199" t="s">
        <v>38</v>
      </c>
      <c r="J2136" s="199" t="s">
        <v>415</v>
      </c>
      <c r="K2136" s="201">
        <v>45306</v>
      </c>
      <c r="L2136" s="199" t="s">
        <v>3319</v>
      </c>
      <c r="M2136" s="199" t="s">
        <v>3320</v>
      </c>
    </row>
    <row r="2137" spans="1:13" ht="85.5">
      <c r="A2137" s="199">
        <v>2136</v>
      </c>
      <c r="B2137" s="199" t="s">
        <v>5424</v>
      </c>
      <c r="C2137" s="199" t="s">
        <v>34</v>
      </c>
      <c r="D2137" s="199" t="s">
        <v>35</v>
      </c>
      <c r="E2137" s="199">
        <v>270000</v>
      </c>
      <c r="F2137" s="199" t="s">
        <v>4678</v>
      </c>
      <c r="G2137" s="199" t="s">
        <v>5247</v>
      </c>
      <c r="H2137" s="200">
        <v>62100</v>
      </c>
      <c r="I2137" s="199" t="s">
        <v>38</v>
      </c>
      <c r="J2137" s="199" t="s">
        <v>415</v>
      </c>
      <c r="K2137" s="201">
        <v>45306</v>
      </c>
      <c r="L2137" s="199" t="s">
        <v>3319</v>
      </c>
      <c r="M2137" s="199" t="s">
        <v>3320</v>
      </c>
    </row>
    <row r="2138" spans="1:13" ht="85.5">
      <c r="A2138" s="199">
        <v>2137</v>
      </c>
      <c r="B2138" s="199" t="s">
        <v>5424</v>
      </c>
      <c r="C2138" s="199" t="s">
        <v>34</v>
      </c>
      <c r="D2138" s="199" t="s">
        <v>35</v>
      </c>
      <c r="E2138" s="199">
        <v>90000</v>
      </c>
      <c r="F2138" s="199" t="s">
        <v>4678</v>
      </c>
      <c r="G2138" s="199" t="s">
        <v>5247</v>
      </c>
      <c r="H2138" s="200">
        <v>20700</v>
      </c>
      <c r="I2138" s="199" t="s">
        <v>38</v>
      </c>
      <c r="J2138" s="199" t="s">
        <v>415</v>
      </c>
      <c r="K2138" s="201">
        <v>45306</v>
      </c>
      <c r="L2138" s="199" t="s">
        <v>3319</v>
      </c>
      <c r="M2138" s="199" t="s">
        <v>3320</v>
      </c>
    </row>
    <row r="2139" spans="1:13" ht="85.5">
      <c r="A2139" s="199">
        <v>2138</v>
      </c>
      <c r="B2139" s="199" t="s">
        <v>5425</v>
      </c>
      <c r="C2139" s="199" t="s">
        <v>34</v>
      </c>
      <c r="D2139" s="199" t="s">
        <v>35</v>
      </c>
      <c r="E2139" s="199">
        <v>60000</v>
      </c>
      <c r="F2139" s="199" t="s">
        <v>4678</v>
      </c>
      <c r="G2139" s="199" t="s">
        <v>5247</v>
      </c>
      <c r="H2139" s="200">
        <v>47400</v>
      </c>
      <c r="I2139" s="199" t="s">
        <v>38</v>
      </c>
      <c r="J2139" s="199" t="s">
        <v>415</v>
      </c>
      <c r="K2139" s="201">
        <v>45306</v>
      </c>
      <c r="L2139" s="199" t="s">
        <v>3319</v>
      </c>
      <c r="M2139" s="199" t="s">
        <v>3320</v>
      </c>
    </row>
    <row r="2140" spans="1:13" ht="85.5">
      <c r="A2140" s="199">
        <v>2139</v>
      </c>
      <c r="B2140" s="199" t="s">
        <v>5426</v>
      </c>
      <c r="C2140" s="199" t="s">
        <v>34</v>
      </c>
      <c r="D2140" s="199" t="s">
        <v>35</v>
      </c>
      <c r="E2140" s="199">
        <v>21200</v>
      </c>
      <c r="F2140" s="199" t="s">
        <v>4678</v>
      </c>
      <c r="G2140" s="199" t="s">
        <v>5247</v>
      </c>
      <c r="H2140" s="200">
        <v>5512</v>
      </c>
      <c r="I2140" s="199" t="s">
        <v>38</v>
      </c>
      <c r="J2140" s="199" t="s">
        <v>415</v>
      </c>
      <c r="K2140" s="201">
        <v>45306</v>
      </c>
      <c r="L2140" s="199" t="s">
        <v>3319</v>
      </c>
      <c r="M2140" s="199" t="s">
        <v>3320</v>
      </c>
    </row>
    <row r="2141" spans="1:13" ht="85.5">
      <c r="A2141" s="199">
        <v>2140</v>
      </c>
      <c r="B2141" s="199" t="s">
        <v>5427</v>
      </c>
      <c r="C2141" s="199" t="s">
        <v>34</v>
      </c>
      <c r="D2141" s="199" t="s">
        <v>35</v>
      </c>
      <c r="E2141" s="199">
        <v>800</v>
      </c>
      <c r="F2141" s="199" t="s">
        <v>5250</v>
      </c>
      <c r="G2141" s="199" t="s">
        <v>5247</v>
      </c>
      <c r="H2141" s="200">
        <v>712</v>
      </c>
      <c r="I2141" s="199" t="s">
        <v>38</v>
      </c>
      <c r="J2141" s="199" t="s">
        <v>415</v>
      </c>
      <c r="K2141" s="201">
        <v>45306</v>
      </c>
      <c r="L2141" s="199" t="s">
        <v>3319</v>
      </c>
      <c r="M2141" s="199" t="s">
        <v>3320</v>
      </c>
    </row>
    <row r="2142" spans="1:13" ht="85.5">
      <c r="A2142" s="199">
        <v>2141</v>
      </c>
      <c r="B2142" s="199" t="s">
        <v>5428</v>
      </c>
      <c r="C2142" s="199" t="s">
        <v>34</v>
      </c>
      <c r="D2142" s="199" t="s">
        <v>35</v>
      </c>
      <c r="E2142" s="199">
        <v>1000</v>
      </c>
      <c r="F2142" s="199" t="s">
        <v>988</v>
      </c>
      <c r="G2142" s="199" t="s">
        <v>5247</v>
      </c>
      <c r="H2142" s="200">
        <v>2800</v>
      </c>
      <c r="I2142" s="199" t="s">
        <v>38</v>
      </c>
      <c r="J2142" s="199" t="s">
        <v>415</v>
      </c>
      <c r="K2142" s="201">
        <v>45306</v>
      </c>
      <c r="L2142" s="199" t="s">
        <v>3319</v>
      </c>
      <c r="M2142" s="199" t="s">
        <v>3320</v>
      </c>
    </row>
    <row r="2143" spans="1:13" ht="85.5">
      <c r="A2143" s="199">
        <v>2142</v>
      </c>
      <c r="B2143" s="199" t="s">
        <v>5429</v>
      </c>
      <c r="C2143" s="199" t="s">
        <v>34</v>
      </c>
      <c r="D2143" s="199" t="s">
        <v>35</v>
      </c>
      <c r="E2143" s="199">
        <v>18000</v>
      </c>
      <c r="F2143" s="199" t="s">
        <v>4678</v>
      </c>
      <c r="G2143" s="199" t="s">
        <v>5247</v>
      </c>
      <c r="H2143" s="200">
        <v>23400</v>
      </c>
      <c r="I2143" s="199" t="s">
        <v>38</v>
      </c>
      <c r="J2143" s="199" t="s">
        <v>415</v>
      </c>
      <c r="K2143" s="201">
        <v>45306</v>
      </c>
      <c r="L2143" s="199" t="s">
        <v>3319</v>
      </c>
      <c r="M2143" s="199" t="s">
        <v>3320</v>
      </c>
    </row>
    <row r="2144" spans="1:13" ht="85.5">
      <c r="A2144" s="199">
        <v>2143</v>
      </c>
      <c r="B2144" s="199" t="s">
        <v>5430</v>
      </c>
      <c r="C2144" s="199" t="s">
        <v>34</v>
      </c>
      <c r="D2144" s="199" t="s">
        <v>35</v>
      </c>
      <c r="E2144" s="199">
        <v>21200</v>
      </c>
      <c r="F2144" s="199" t="s">
        <v>4678</v>
      </c>
      <c r="G2144" s="199" t="s">
        <v>5247</v>
      </c>
      <c r="H2144" s="200">
        <v>5088</v>
      </c>
      <c r="I2144" s="199" t="s">
        <v>38</v>
      </c>
      <c r="J2144" s="199" t="s">
        <v>415</v>
      </c>
      <c r="K2144" s="201">
        <v>45306</v>
      </c>
      <c r="L2144" s="199" t="s">
        <v>3319</v>
      </c>
      <c r="M2144" s="199" t="s">
        <v>3320</v>
      </c>
    </row>
    <row r="2145" spans="1:13" ht="99.75">
      <c r="A2145" s="199">
        <v>2144</v>
      </c>
      <c r="B2145" s="199" t="s">
        <v>5431</v>
      </c>
      <c r="C2145" s="199" t="s">
        <v>34</v>
      </c>
      <c r="D2145" s="199" t="s">
        <v>35</v>
      </c>
      <c r="E2145" s="199">
        <v>1000</v>
      </c>
      <c r="F2145" s="199" t="s">
        <v>5432</v>
      </c>
      <c r="G2145" s="199" t="s">
        <v>5247</v>
      </c>
      <c r="H2145" s="200">
        <v>7730</v>
      </c>
      <c r="I2145" s="199" t="s">
        <v>38</v>
      </c>
      <c r="J2145" s="199" t="s">
        <v>415</v>
      </c>
      <c r="K2145" s="201">
        <v>45306</v>
      </c>
      <c r="L2145" s="199" t="s">
        <v>3319</v>
      </c>
      <c r="M2145" s="199" t="s">
        <v>3320</v>
      </c>
    </row>
    <row r="2146" spans="1:13" ht="85.5">
      <c r="A2146" s="199">
        <v>2145</v>
      </c>
      <c r="B2146" s="199" t="s">
        <v>5433</v>
      </c>
      <c r="C2146" s="199" t="s">
        <v>34</v>
      </c>
      <c r="D2146" s="199" t="s">
        <v>35</v>
      </c>
      <c r="E2146" s="199">
        <v>1500</v>
      </c>
      <c r="F2146" s="199" t="s">
        <v>5254</v>
      </c>
      <c r="G2146" s="199" t="s">
        <v>5247</v>
      </c>
      <c r="H2146" s="200">
        <v>9210</v>
      </c>
      <c r="I2146" s="199" t="s">
        <v>38</v>
      </c>
      <c r="J2146" s="199" t="s">
        <v>415</v>
      </c>
      <c r="K2146" s="201">
        <v>45306</v>
      </c>
      <c r="L2146" s="199" t="s">
        <v>3319</v>
      </c>
      <c r="M2146" s="199" t="s">
        <v>3320</v>
      </c>
    </row>
    <row r="2147" spans="1:13" ht="114">
      <c r="A2147" s="199">
        <v>2146</v>
      </c>
      <c r="B2147" s="199" t="s">
        <v>5434</v>
      </c>
      <c r="C2147" s="199" t="s">
        <v>34</v>
      </c>
      <c r="D2147" s="199" t="s">
        <v>35</v>
      </c>
      <c r="E2147" s="199">
        <v>1000</v>
      </c>
      <c r="F2147" s="199" t="s">
        <v>5254</v>
      </c>
      <c r="G2147" s="199" t="s">
        <v>5247</v>
      </c>
      <c r="H2147" s="200">
        <v>10050</v>
      </c>
      <c r="I2147" s="199" t="s">
        <v>38</v>
      </c>
      <c r="J2147" s="199" t="s">
        <v>415</v>
      </c>
      <c r="K2147" s="201">
        <v>45306</v>
      </c>
      <c r="L2147" s="199" t="s">
        <v>3319</v>
      </c>
      <c r="M2147" s="199" t="s">
        <v>3320</v>
      </c>
    </row>
    <row r="2148" spans="1:13" ht="85.5">
      <c r="A2148" s="199">
        <v>2147</v>
      </c>
      <c r="B2148" s="199" t="s">
        <v>5435</v>
      </c>
      <c r="C2148" s="199" t="s">
        <v>34</v>
      </c>
      <c r="D2148" s="199" t="s">
        <v>35</v>
      </c>
      <c r="E2148" s="199">
        <v>400</v>
      </c>
      <c r="F2148" s="199" t="s">
        <v>5250</v>
      </c>
      <c r="G2148" s="199" t="s">
        <v>5247</v>
      </c>
      <c r="H2148" s="200">
        <v>2140</v>
      </c>
      <c r="I2148" s="199" t="s">
        <v>38</v>
      </c>
      <c r="J2148" s="199" t="s">
        <v>415</v>
      </c>
      <c r="K2148" s="201">
        <v>45306</v>
      </c>
      <c r="L2148" s="199" t="s">
        <v>3319</v>
      </c>
      <c r="M2148" s="199" t="s">
        <v>3320</v>
      </c>
    </row>
    <row r="2149" spans="1:13" ht="85.5">
      <c r="A2149" s="199">
        <v>2148</v>
      </c>
      <c r="B2149" s="199" t="s">
        <v>5436</v>
      </c>
      <c r="C2149" s="199" t="s">
        <v>34</v>
      </c>
      <c r="D2149" s="199" t="s">
        <v>35</v>
      </c>
      <c r="E2149" s="199">
        <v>210000</v>
      </c>
      <c r="F2149" s="199" t="s">
        <v>5260</v>
      </c>
      <c r="G2149" s="199" t="s">
        <v>5247</v>
      </c>
      <c r="H2149" s="200">
        <v>29400</v>
      </c>
      <c r="I2149" s="199" t="s">
        <v>38</v>
      </c>
      <c r="J2149" s="199" t="s">
        <v>415</v>
      </c>
      <c r="K2149" s="201">
        <v>45306</v>
      </c>
      <c r="L2149" s="199" t="s">
        <v>3319</v>
      </c>
      <c r="M2149" s="199" t="s">
        <v>3320</v>
      </c>
    </row>
    <row r="2150" spans="1:13" ht="114">
      <c r="A2150" s="199">
        <v>2149</v>
      </c>
      <c r="B2150" s="199" t="s">
        <v>5437</v>
      </c>
      <c r="C2150" s="199" t="s">
        <v>34</v>
      </c>
      <c r="D2150" s="199" t="s">
        <v>35</v>
      </c>
      <c r="E2150" s="199">
        <v>16000</v>
      </c>
      <c r="F2150" s="199" t="s">
        <v>5254</v>
      </c>
      <c r="G2150" s="199" t="s">
        <v>5247</v>
      </c>
      <c r="H2150" s="200">
        <v>55360</v>
      </c>
      <c r="I2150" s="199" t="s">
        <v>38</v>
      </c>
      <c r="J2150" s="199" t="s">
        <v>415</v>
      </c>
      <c r="K2150" s="201">
        <v>45306</v>
      </c>
      <c r="L2150" s="199" t="s">
        <v>3319</v>
      </c>
      <c r="M2150" s="199" t="s">
        <v>3320</v>
      </c>
    </row>
    <row r="2151" spans="1:13" ht="85.5">
      <c r="A2151" s="199">
        <v>2150</v>
      </c>
      <c r="B2151" s="199" t="s">
        <v>5438</v>
      </c>
      <c r="C2151" s="199" t="s">
        <v>34</v>
      </c>
      <c r="D2151" s="199" t="s">
        <v>35</v>
      </c>
      <c r="E2151" s="199">
        <v>157500</v>
      </c>
      <c r="F2151" s="199" t="s">
        <v>4678</v>
      </c>
      <c r="G2151" s="199" t="s">
        <v>5247</v>
      </c>
      <c r="H2151" s="200">
        <v>74025</v>
      </c>
      <c r="I2151" s="199" t="s">
        <v>38</v>
      </c>
      <c r="J2151" s="199" t="s">
        <v>415</v>
      </c>
      <c r="K2151" s="201">
        <v>45306</v>
      </c>
      <c r="L2151" s="199" t="s">
        <v>3319</v>
      </c>
      <c r="M2151" s="199" t="s">
        <v>3320</v>
      </c>
    </row>
    <row r="2152" spans="1:13" ht="85.5">
      <c r="A2152" s="199">
        <v>2151</v>
      </c>
      <c r="B2152" s="199" t="s">
        <v>5438</v>
      </c>
      <c r="C2152" s="199" t="s">
        <v>34</v>
      </c>
      <c r="D2152" s="199" t="s">
        <v>35</v>
      </c>
      <c r="E2152" s="199">
        <v>52500</v>
      </c>
      <c r="F2152" s="199" t="s">
        <v>4678</v>
      </c>
      <c r="G2152" s="199" t="s">
        <v>5247</v>
      </c>
      <c r="H2152" s="200">
        <v>24675</v>
      </c>
      <c r="I2152" s="199" t="s">
        <v>38</v>
      </c>
      <c r="J2152" s="199" t="s">
        <v>415</v>
      </c>
      <c r="K2152" s="201">
        <v>45306</v>
      </c>
      <c r="L2152" s="199" t="s">
        <v>3319</v>
      </c>
      <c r="M2152" s="199" t="s">
        <v>3320</v>
      </c>
    </row>
    <row r="2153" spans="1:13" ht="85.5">
      <c r="A2153" s="199">
        <v>2152</v>
      </c>
      <c r="B2153" s="199" t="s">
        <v>5439</v>
      </c>
      <c r="C2153" s="199" t="s">
        <v>34</v>
      </c>
      <c r="D2153" s="199" t="s">
        <v>35</v>
      </c>
      <c r="E2153" s="199">
        <v>1600</v>
      </c>
      <c r="F2153" s="199" t="s">
        <v>988</v>
      </c>
      <c r="G2153" s="199" t="s">
        <v>5247</v>
      </c>
      <c r="H2153" s="200">
        <v>12864</v>
      </c>
      <c r="I2153" s="199" t="s">
        <v>38</v>
      </c>
      <c r="J2153" s="199" t="s">
        <v>415</v>
      </c>
      <c r="K2153" s="201">
        <v>45306</v>
      </c>
      <c r="L2153" s="199" t="s">
        <v>3319</v>
      </c>
      <c r="M2153" s="199" t="s">
        <v>3320</v>
      </c>
    </row>
    <row r="2154" spans="1:13" ht="85.5">
      <c r="A2154" s="199">
        <v>2153</v>
      </c>
      <c r="B2154" s="199" t="s">
        <v>5440</v>
      </c>
      <c r="C2154" s="199" t="s">
        <v>34</v>
      </c>
      <c r="D2154" s="199" t="s">
        <v>35</v>
      </c>
      <c r="E2154" s="199">
        <v>6600</v>
      </c>
      <c r="F2154" s="199" t="s">
        <v>5254</v>
      </c>
      <c r="G2154" s="199" t="s">
        <v>5247</v>
      </c>
      <c r="H2154" s="200">
        <v>48114</v>
      </c>
      <c r="I2154" s="199" t="s">
        <v>38</v>
      </c>
      <c r="J2154" s="199" t="s">
        <v>415</v>
      </c>
      <c r="K2154" s="201">
        <v>45306</v>
      </c>
      <c r="L2154" s="199" t="s">
        <v>3319</v>
      </c>
      <c r="M2154" s="199" t="s">
        <v>3320</v>
      </c>
    </row>
    <row r="2155" spans="1:13" ht="85.5">
      <c r="A2155" s="199">
        <v>2154</v>
      </c>
      <c r="B2155" s="199" t="s">
        <v>5441</v>
      </c>
      <c r="C2155" s="199" t="s">
        <v>34</v>
      </c>
      <c r="D2155" s="199" t="s">
        <v>35</v>
      </c>
      <c r="E2155" s="199">
        <v>10000</v>
      </c>
      <c r="F2155" s="199" t="s">
        <v>4678</v>
      </c>
      <c r="G2155" s="199" t="s">
        <v>5247</v>
      </c>
      <c r="H2155" s="200">
        <v>4000</v>
      </c>
      <c r="I2155" s="199" t="s">
        <v>38</v>
      </c>
      <c r="J2155" s="199" t="s">
        <v>415</v>
      </c>
      <c r="K2155" s="201">
        <v>45306</v>
      </c>
      <c r="L2155" s="199" t="s">
        <v>3319</v>
      </c>
      <c r="M2155" s="199" t="s">
        <v>3320</v>
      </c>
    </row>
    <row r="2156" spans="1:13" ht="85.5">
      <c r="A2156" s="199">
        <v>2155</v>
      </c>
      <c r="B2156" s="199" t="s">
        <v>5442</v>
      </c>
      <c r="C2156" s="199" t="s">
        <v>34</v>
      </c>
      <c r="D2156" s="199" t="s">
        <v>35</v>
      </c>
      <c r="E2156" s="199">
        <v>20000</v>
      </c>
      <c r="F2156" s="199" t="s">
        <v>5260</v>
      </c>
      <c r="G2156" s="199" t="s">
        <v>5247</v>
      </c>
      <c r="H2156" s="200">
        <v>8800</v>
      </c>
      <c r="I2156" s="199" t="s">
        <v>38</v>
      </c>
      <c r="J2156" s="199" t="s">
        <v>415</v>
      </c>
      <c r="K2156" s="201">
        <v>45306</v>
      </c>
      <c r="L2156" s="199" t="s">
        <v>3319</v>
      </c>
      <c r="M2156" s="199" t="s">
        <v>3320</v>
      </c>
    </row>
    <row r="2157" spans="1:13" ht="85.5">
      <c r="A2157" s="199">
        <v>2156</v>
      </c>
      <c r="B2157" s="199" t="s">
        <v>5443</v>
      </c>
      <c r="C2157" s="199" t="s">
        <v>34</v>
      </c>
      <c r="D2157" s="199" t="s">
        <v>35</v>
      </c>
      <c r="E2157" s="199">
        <v>2400</v>
      </c>
      <c r="F2157" s="199" t="s">
        <v>4678</v>
      </c>
      <c r="G2157" s="199" t="s">
        <v>5247</v>
      </c>
      <c r="H2157" s="200">
        <v>4272</v>
      </c>
      <c r="I2157" s="199" t="s">
        <v>38</v>
      </c>
      <c r="J2157" s="199" t="s">
        <v>415</v>
      </c>
      <c r="K2157" s="201">
        <v>45306</v>
      </c>
      <c r="L2157" s="199" t="s">
        <v>3319</v>
      </c>
      <c r="M2157" s="199" t="s">
        <v>3320</v>
      </c>
    </row>
    <row r="2158" spans="1:13" ht="85.5">
      <c r="A2158" s="199">
        <v>2157</v>
      </c>
      <c r="B2158" s="199" t="s">
        <v>5444</v>
      </c>
      <c r="C2158" s="199" t="s">
        <v>34</v>
      </c>
      <c r="D2158" s="199" t="s">
        <v>35</v>
      </c>
      <c r="E2158" s="199">
        <v>15200</v>
      </c>
      <c r="F2158" s="199" t="s">
        <v>4678</v>
      </c>
      <c r="G2158" s="199" t="s">
        <v>5247</v>
      </c>
      <c r="H2158" s="200">
        <v>10944</v>
      </c>
      <c r="I2158" s="199" t="s">
        <v>38</v>
      </c>
      <c r="J2158" s="199" t="s">
        <v>415</v>
      </c>
      <c r="K2158" s="201">
        <v>45306</v>
      </c>
      <c r="L2158" s="199" t="s">
        <v>3319</v>
      </c>
      <c r="M2158" s="199" t="s">
        <v>3320</v>
      </c>
    </row>
    <row r="2159" spans="1:13" ht="85.5">
      <c r="A2159" s="199">
        <v>2158</v>
      </c>
      <c r="B2159" s="199" t="s">
        <v>5445</v>
      </c>
      <c r="C2159" s="199" t="s">
        <v>34</v>
      </c>
      <c r="D2159" s="199" t="s">
        <v>35</v>
      </c>
      <c r="E2159" s="199">
        <v>315000</v>
      </c>
      <c r="F2159" s="199" t="s">
        <v>5260</v>
      </c>
      <c r="G2159" s="199" t="s">
        <v>5247</v>
      </c>
      <c r="H2159" s="200">
        <v>182700</v>
      </c>
      <c r="I2159" s="199" t="s">
        <v>38</v>
      </c>
      <c r="J2159" s="199" t="s">
        <v>415</v>
      </c>
      <c r="K2159" s="201">
        <v>45306</v>
      </c>
      <c r="L2159" s="199" t="s">
        <v>3319</v>
      </c>
      <c r="M2159" s="199" t="s">
        <v>3320</v>
      </c>
    </row>
    <row r="2160" spans="1:13" ht="85.5">
      <c r="A2160" s="199">
        <v>2159</v>
      </c>
      <c r="B2160" s="199" t="s">
        <v>5445</v>
      </c>
      <c r="C2160" s="199" t="s">
        <v>34</v>
      </c>
      <c r="D2160" s="199" t="s">
        <v>35</v>
      </c>
      <c r="E2160" s="199">
        <v>105000</v>
      </c>
      <c r="F2160" s="199" t="s">
        <v>5260</v>
      </c>
      <c r="G2160" s="199" t="s">
        <v>5247</v>
      </c>
      <c r="H2160" s="200">
        <v>60900</v>
      </c>
      <c r="I2160" s="199" t="s">
        <v>38</v>
      </c>
      <c r="J2160" s="199" t="s">
        <v>415</v>
      </c>
      <c r="K2160" s="201">
        <v>45306</v>
      </c>
      <c r="L2160" s="199" t="s">
        <v>3319</v>
      </c>
      <c r="M2160" s="199" t="s">
        <v>3320</v>
      </c>
    </row>
    <row r="2161" spans="1:13" ht="85.5">
      <c r="A2161" s="199">
        <v>2160</v>
      </c>
      <c r="B2161" s="199" t="s">
        <v>5446</v>
      </c>
      <c r="C2161" s="199" t="s">
        <v>34</v>
      </c>
      <c r="D2161" s="199" t="s">
        <v>35</v>
      </c>
      <c r="E2161" s="199">
        <v>15200</v>
      </c>
      <c r="F2161" s="199" t="s">
        <v>4678</v>
      </c>
      <c r="G2161" s="199" t="s">
        <v>5247</v>
      </c>
      <c r="H2161" s="200">
        <v>23256</v>
      </c>
      <c r="I2161" s="199" t="s">
        <v>38</v>
      </c>
      <c r="J2161" s="199" t="s">
        <v>415</v>
      </c>
      <c r="K2161" s="201">
        <v>45306</v>
      </c>
      <c r="L2161" s="199" t="s">
        <v>3319</v>
      </c>
      <c r="M2161" s="199" t="s">
        <v>3320</v>
      </c>
    </row>
    <row r="2162" spans="1:13" ht="85.5">
      <c r="A2162" s="199">
        <v>2161</v>
      </c>
      <c r="B2162" s="199" t="s">
        <v>5447</v>
      </c>
      <c r="C2162" s="199" t="s">
        <v>34</v>
      </c>
      <c r="D2162" s="199" t="s">
        <v>35</v>
      </c>
      <c r="E2162" s="199">
        <v>120</v>
      </c>
      <c r="F2162" s="199" t="s">
        <v>988</v>
      </c>
      <c r="G2162" s="199" t="s">
        <v>5247</v>
      </c>
      <c r="H2162" s="200">
        <v>5642.4</v>
      </c>
      <c r="I2162" s="199" t="s">
        <v>38</v>
      </c>
      <c r="J2162" s="199" t="s">
        <v>415</v>
      </c>
      <c r="K2162" s="201">
        <v>45306</v>
      </c>
      <c r="L2162" s="199" t="s">
        <v>3319</v>
      </c>
      <c r="M2162" s="199" t="s">
        <v>3320</v>
      </c>
    </row>
    <row r="2163" spans="1:13" ht="156.75">
      <c r="A2163" s="199">
        <v>2162</v>
      </c>
      <c r="B2163" s="199" t="s">
        <v>5448</v>
      </c>
      <c r="C2163" s="199" t="s">
        <v>34</v>
      </c>
      <c r="D2163" s="199" t="s">
        <v>35</v>
      </c>
      <c r="E2163" s="199">
        <v>7500</v>
      </c>
      <c r="F2163" s="199" t="s">
        <v>5254</v>
      </c>
      <c r="G2163" s="199" t="s">
        <v>5247</v>
      </c>
      <c r="H2163" s="200">
        <v>66900</v>
      </c>
      <c r="I2163" s="199" t="s">
        <v>38</v>
      </c>
      <c r="J2163" s="199" t="s">
        <v>415</v>
      </c>
      <c r="K2163" s="201">
        <v>45306</v>
      </c>
      <c r="L2163" s="199" t="s">
        <v>3319</v>
      </c>
      <c r="M2163" s="199" t="s">
        <v>3320</v>
      </c>
    </row>
    <row r="2164" spans="1:13" ht="156.75">
      <c r="A2164" s="199">
        <v>2163</v>
      </c>
      <c r="B2164" s="199" t="s">
        <v>5448</v>
      </c>
      <c r="C2164" s="199" t="s">
        <v>34</v>
      </c>
      <c r="D2164" s="199" t="s">
        <v>35</v>
      </c>
      <c r="E2164" s="199">
        <v>2500</v>
      </c>
      <c r="F2164" s="199" t="s">
        <v>5254</v>
      </c>
      <c r="G2164" s="199" t="s">
        <v>5247</v>
      </c>
      <c r="H2164" s="200">
        <v>22300</v>
      </c>
      <c r="I2164" s="199" t="s">
        <v>38</v>
      </c>
      <c r="J2164" s="199" t="s">
        <v>415</v>
      </c>
      <c r="K2164" s="201">
        <v>45306</v>
      </c>
      <c r="L2164" s="199" t="s">
        <v>3319</v>
      </c>
      <c r="M2164" s="199" t="s">
        <v>3320</v>
      </c>
    </row>
    <row r="2165" spans="1:13" ht="85.5">
      <c r="A2165" s="199">
        <v>2164</v>
      </c>
      <c r="B2165" s="199" t="s">
        <v>5449</v>
      </c>
      <c r="C2165" s="199" t="s">
        <v>34</v>
      </c>
      <c r="D2165" s="199" t="s">
        <v>35</v>
      </c>
      <c r="E2165" s="199">
        <v>3000</v>
      </c>
      <c r="F2165" s="199" t="s">
        <v>988</v>
      </c>
      <c r="G2165" s="199" t="s">
        <v>5247</v>
      </c>
      <c r="H2165" s="200">
        <v>7710</v>
      </c>
      <c r="I2165" s="199" t="s">
        <v>38</v>
      </c>
      <c r="J2165" s="199" t="s">
        <v>415</v>
      </c>
      <c r="K2165" s="201">
        <v>45306</v>
      </c>
      <c r="L2165" s="199" t="s">
        <v>3319</v>
      </c>
      <c r="M2165" s="199" t="s">
        <v>3320</v>
      </c>
    </row>
    <row r="2166" spans="1:13" ht="85.5">
      <c r="A2166" s="199">
        <v>2165</v>
      </c>
      <c r="B2166" s="199" t="s">
        <v>5450</v>
      </c>
      <c r="C2166" s="199" t="s">
        <v>34</v>
      </c>
      <c r="D2166" s="199" t="s">
        <v>35</v>
      </c>
      <c r="E2166" s="199">
        <v>180000</v>
      </c>
      <c r="F2166" s="199" t="s">
        <v>4678</v>
      </c>
      <c r="G2166" s="199" t="s">
        <v>5247</v>
      </c>
      <c r="H2166" s="200">
        <v>34200</v>
      </c>
      <c r="I2166" s="199" t="s">
        <v>38</v>
      </c>
      <c r="J2166" s="199" t="s">
        <v>415</v>
      </c>
      <c r="K2166" s="201">
        <v>45306</v>
      </c>
      <c r="L2166" s="199" t="s">
        <v>3319</v>
      </c>
      <c r="M2166" s="199" t="s">
        <v>3320</v>
      </c>
    </row>
    <row r="2167" spans="1:13" ht="85.5">
      <c r="A2167" s="199">
        <v>2166</v>
      </c>
      <c r="B2167" s="199" t="s">
        <v>5451</v>
      </c>
      <c r="C2167" s="199" t="s">
        <v>34</v>
      </c>
      <c r="D2167" s="199" t="s">
        <v>35</v>
      </c>
      <c r="E2167" s="199">
        <v>6000</v>
      </c>
      <c r="F2167" s="199" t="s">
        <v>4678</v>
      </c>
      <c r="G2167" s="199" t="s">
        <v>5247</v>
      </c>
      <c r="H2167" s="200">
        <v>660</v>
      </c>
      <c r="I2167" s="199" t="s">
        <v>38</v>
      </c>
      <c r="J2167" s="199" t="s">
        <v>415</v>
      </c>
      <c r="K2167" s="201">
        <v>45306</v>
      </c>
      <c r="L2167" s="199" t="s">
        <v>3319</v>
      </c>
      <c r="M2167" s="199" t="s">
        <v>3320</v>
      </c>
    </row>
    <row r="2168" spans="1:13" ht="85.5">
      <c r="A2168" s="199">
        <v>2167</v>
      </c>
      <c r="B2168" s="199" t="s">
        <v>5452</v>
      </c>
      <c r="C2168" s="199" t="s">
        <v>34</v>
      </c>
      <c r="D2168" s="199" t="s">
        <v>35</v>
      </c>
      <c r="E2168" s="199">
        <v>30000</v>
      </c>
      <c r="F2168" s="199" t="s">
        <v>5260</v>
      </c>
      <c r="G2168" s="199" t="s">
        <v>5247</v>
      </c>
      <c r="H2168" s="200">
        <v>12300</v>
      </c>
      <c r="I2168" s="199" t="s">
        <v>38</v>
      </c>
      <c r="J2168" s="199" t="s">
        <v>415</v>
      </c>
      <c r="K2168" s="201">
        <v>45306</v>
      </c>
      <c r="L2168" s="199" t="s">
        <v>3319</v>
      </c>
      <c r="M2168" s="199" t="s">
        <v>3320</v>
      </c>
    </row>
    <row r="2169" spans="1:13" ht="85.5">
      <c r="A2169" s="199">
        <v>2168</v>
      </c>
      <c r="B2169" s="199" t="s">
        <v>5453</v>
      </c>
      <c r="C2169" s="199" t="s">
        <v>34</v>
      </c>
      <c r="D2169" s="199" t="s">
        <v>35</v>
      </c>
      <c r="E2169" s="199">
        <v>4000</v>
      </c>
      <c r="F2169" s="199" t="s">
        <v>988</v>
      </c>
      <c r="G2169" s="199" t="s">
        <v>5247</v>
      </c>
      <c r="H2169" s="200">
        <v>35800</v>
      </c>
      <c r="I2169" s="199" t="s">
        <v>38</v>
      </c>
      <c r="J2169" s="199" t="s">
        <v>415</v>
      </c>
      <c r="K2169" s="201">
        <v>45306</v>
      </c>
      <c r="L2169" s="199" t="s">
        <v>3319</v>
      </c>
      <c r="M2169" s="199" t="s">
        <v>3320</v>
      </c>
    </row>
    <row r="2170" spans="1:13" ht="85.5">
      <c r="A2170" s="199">
        <v>2169</v>
      </c>
      <c r="B2170" s="199" t="s">
        <v>5454</v>
      </c>
      <c r="C2170" s="199" t="s">
        <v>34</v>
      </c>
      <c r="D2170" s="199" t="s">
        <v>35</v>
      </c>
      <c r="E2170" s="199">
        <v>135000</v>
      </c>
      <c r="F2170" s="199" t="s">
        <v>4678</v>
      </c>
      <c r="G2170" s="199" t="s">
        <v>5247</v>
      </c>
      <c r="H2170" s="200">
        <v>62100</v>
      </c>
      <c r="I2170" s="199" t="s">
        <v>38</v>
      </c>
      <c r="J2170" s="199" t="s">
        <v>415</v>
      </c>
      <c r="K2170" s="201">
        <v>45306</v>
      </c>
      <c r="L2170" s="199" t="s">
        <v>3319</v>
      </c>
      <c r="M2170" s="199" t="s">
        <v>3320</v>
      </c>
    </row>
    <row r="2171" spans="1:13" ht="85.5">
      <c r="A2171" s="199">
        <v>2170</v>
      </c>
      <c r="B2171" s="199" t="s">
        <v>5454</v>
      </c>
      <c r="C2171" s="199" t="s">
        <v>34</v>
      </c>
      <c r="D2171" s="199" t="s">
        <v>35</v>
      </c>
      <c r="E2171" s="199">
        <v>45000</v>
      </c>
      <c r="F2171" s="199" t="s">
        <v>4678</v>
      </c>
      <c r="G2171" s="199" t="s">
        <v>5247</v>
      </c>
      <c r="H2171" s="200">
        <v>20700</v>
      </c>
      <c r="I2171" s="199" t="s">
        <v>38</v>
      </c>
      <c r="J2171" s="199" t="s">
        <v>415</v>
      </c>
      <c r="K2171" s="201">
        <v>45306</v>
      </c>
      <c r="L2171" s="199" t="s">
        <v>3319</v>
      </c>
      <c r="M2171" s="199" t="s">
        <v>3320</v>
      </c>
    </row>
    <row r="2172" spans="1:13" ht="85.5">
      <c r="A2172" s="199">
        <v>2171</v>
      </c>
      <c r="B2172" s="199" t="s">
        <v>5455</v>
      </c>
      <c r="C2172" s="199" t="s">
        <v>34</v>
      </c>
      <c r="D2172" s="199" t="s">
        <v>35</v>
      </c>
      <c r="E2172" s="199">
        <v>180000</v>
      </c>
      <c r="F2172" s="199" t="s">
        <v>4678</v>
      </c>
      <c r="G2172" s="199" t="s">
        <v>5247</v>
      </c>
      <c r="H2172" s="200">
        <v>28800</v>
      </c>
      <c r="I2172" s="199" t="s">
        <v>38</v>
      </c>
      <c r="J2172" s="199" t="s">
        <v>415</v>
      </c>
      <c r="K2172" s="201">
        <v>45306</v>
      </c>
      <c r="L2172" s="199" t="s">
        <v>3319</v>
      </c>
      <c r="M2172" s="199" t="s">
        <v>3320</v>
      </c>
    </row>
    <row r="2173" spans="1:13" ht="85.5">
      <c r="A2173" s="199">
        <v>2172</v>
      </c>
      <c r="B2173" s="199" t="s">
        <v>5456</v>
      </c>
      <c r="C2173" s="199" t="s">
        <v>34</v>
      </c>
      <c r="D2173" s="199" t="s">
        <v>35</v>
      </c>
      <c r="E2173" s="199">
        <v>40000</v>
      </c>
      <c r="F2173" s="199" t="s">
        <v>4678</v>
      </c>
      <c r="G2173" s="199" t="s">
        <v>5247</v>
      </c>
      <c r="H2173" s="200">
        <v>10800</v>
      </c>
      <c r="I2173" s="199" t="s">
        <v>38</v>
      </c>
      <c r="J2173" s="199" t="s">
        <v>415</v>
      </c>
      <c r="K2173" s="201">
        <v>45306</v>
      </c>
      <c r="L2173" s="199" t="s">
        <v>3319</v>
      </c>
      <c r="M2173" s="199" t="s">
        <v>3320</v>
      </c>
    </row>
    <row r="2174" spans="1:13" ht="85.5">
      <c r="A2174" s="199">
        <v>2173</v>
      </c>
      <c r="B2174" s="199" t="s">
        <v>5457</v>
      </c>
      <c r="C2174" s="199" t="s">
        <v>34</v>
      </c>
      <c r="D2174" s="199" t="s">
        <v>35</v>
      </c>
      <c r="E2174" s="199">
        <v>6000</v>
      </c>
      <c r="F2174" s="199" t="s">
        <v>4678</v>
      </c>
      <c r="G2174" s="199" t="s">
        <v>5247</v>
      </c>
      <c r="H2174" s="200">
        <v>9060</v>
      </c>
      <c r="I2174" s="199" t="s">
        <v>38</v>
      </c>
      <c r="J2174" s="199" t="s">
        <v>415</v>
      </c>
      <c r="K2174" s="201">
        <v>45306</v>
      </c>
      <c r="L2174" s="199" t="s">
        <v>3319</v>
      </c>
      <c r="M2174" s="199" t="s">
        <v>3320</v>
      </c>
    </row>
    <row r="2175" spans="1:13" ht="85.5">
      <c r="A2175" s="199">
        <v>2174</v>
      </c>
      <c r="B2175" s="199" t="s">
        <v>5458</v>
      </c>
      <c r="C2175" s="199" t="s">
        <v>34</v>
      </c>
      <c r="D2175" s="199" t="s">
        <v>35</v>
      </c>
      <c r="E2175" s="199">
        <v>315000</v>
      </c>
      <c r="F2175" s="199" t="s">
        <v>4678</v>
      </c>
      <c r="G2175" s="199" t="s">
        <v>5247</v>
      </c>
      <c r="H2175" s="200">
        <v>176400</v>
      </c>
      <c r="I2175" s="199" t="s">
        <v>38</v>
      </c>
      <c r="J2175" s="199" t="s">
        <v>415</v>
      </c>
      <c r="K2175" s="201">
        <v>45306</v>
      </c>
      <c r="L2175" s="199" t="s">
        <v>3319</v>
      </c>
      <c r="M2175" s="199" t="s">
        <v>3320</v>
      </c>
    </row>
    <row r="2176" spans="1:13" ht="85.5">
      <c r="A2176" s="199">
        <v>2175</v>
      </c>
      <c r="B2176" s="199" t="s">
        <v>5458</v>
      </c>
      <c r="C2176" s="199" t="s">
        <v>34</v>
      </c>
      <c r="D2176" s="199" t="s">
        <v>35</v>
      </c>
      <c r="E2176" s="199">
        <v>105000</v>
      </c>
      <c r="F2176" s="199" t="s">
        <v>4678</v>
      </c>
      <c r="G2176" s="199" t="s">
        <v>5247</v>
      </c>
      <c r="H2176" s="200">
        <v>58800</v>
      </c>
      <c r="I2176" s="199" t="s">
        <v>38</v>
      </c>
      <c r="J2176" s="199" t="s">
        <v>415</v>
      </c>
      <c r="K2176" s="201">
        <v>45306</v>
      </c>
      <c r="L2176" s="199" t="s">
        <v>3319</v>
      </c>
      <c r="M2176" s="199" t="s">
        <v>3320</v>
      </c>
    </row>
    <row r="2177" spans="1:13" ht="85.5">
      <c r="A2177" s="199">
        <v>2176</v>
      </c>
      <c r="B2177" s="199" t="s">
        <v>5459</v>
      </c>
      <c r="C2177" s="199" t="s">
        <v>34</v>
      </c>
      <c r="D2177" s="199" t="s">
        <v>35</v>
      </c>
      <c r="E2177" s="199">
        <v>6000</v>
      </c>
      <c r="F2177" s="199" t="s">
        <v>4678</v>
      </c>
      <c r="G2177" s="199" t="s">
        <v>5247</v>
      </c>
      <c r="H2177" s="200">
        <v>5160</v>
      </c>
      <c r="I2177" s="199" t="s">
        <v>38</v>
      </c>
      <c r="J2177" s="199" t="s">
        <v>415</v>
      </c>
      <c r="K2177" s="201">
        <v>45306</v>
      </c>
      <c r="L2177" s="199" t="s">
        <v>3319</v>
      </c>
      <c r="M2177" s="199" t="s">
        <v>3320</v>
      </c>
    </row>
    <row r="2178" spans="1:13" ht="85.5">
      <c r="A2178" s="199">
        <v>2177</v>
      </c>
      <c r="B2178" s="199" t="s">
        <v>5460</v>
      </c>
      <c r="C2178" s="199" t="s">
        <v>34</v>
      </c>
      <c r="D2178" s="199" t="s">
        <v>35</v>
      </c>
      <c r="E2178" s="199">
        <v>60000</v>
      </c>
      <c r="F2178" s="199" t="s">
        <v>4678</v>
      </c>
      <c r="G2178" s="199" t="s">
        <v>5247</v>
      </c>
      <c r="H2178" s="200">
        <v>6000</v>
      </c>
      <c r="I2178" s="199" t="s">
        <v>38</v>
      </c>
      <c r="J2178" s="199" t="s">
        <v>415</v>
      </c>
      <c r="K2178" s="201">
        <v>45306</v>
      </c>
      <c r="L2178" s="199" t="s">
        <v>3319</v>
      </c>
      <c r="M2178" s="199" t="s">
        <v>3320</v>
      </c>
    </row>
    <row r="2179" spans="1:13" ht="128.25">
      <c r="A2179" s="199">
        <v>2178</v>
      </c>
      <c r="B2179" s="199" t="s">
        <v>5461</v>
      </c>
      <c r="C2179" s="199" t="s">
        <v>34</v>
      </c>
      <c r="D2179" s="199" t="s">
        <v>35</v>
      </c>
      <c r="E2179" s="199">
        <v>4000</v>
      </c>
      <c r="F2179" s="199" t="s">
        <v>988</v>
      </c>
      <c r="G2179" s="199" t="s">
        <v>5247</v>
      </c>
      <c r="H2179" s="200">
        <v>35040</v>
      </c>
      <c r="I2179" s="199" t="s">
        <v>38</v>
      </c>
      <c r="J2179" s="199" t="s">
        <v>415</v>
      </c>
      <c r="K2179" s="201">
        <v>45306</v>
      </c>
      <c r="L2179" s="199" t="s">
        <v>3319</v>
      </c>
      <c r="M2179" s="199" t="s">
        <v>3320</v>
      </c>
    </row>
    <row r="2180" spans="1:13" ht="85.5">
      <c r="A2180" s="199">
        <v>2179</v>
      </c>
      <c r="B2180" s="199" t="s">
        <v>5462</v>
      </c>
      <c r="C2180" s="199" t="s">
        <v>34</v>
      </c>
      <c r="D2180" s="199" t="s">
        <v>35</v>
      </c>
      <c r="E2180" s="199">
        <v>2200</v>
      </c>
      <c r="F2180" s="199" t="s">
        <v>988</v>
      </c>
      <c r="G2180" s="199" t="s">
        <v>5247</v>
      </c>
      <c r="H2180" s="200">
        <v>37048</v>
      </c>
      <c r="I2180" s="199" t="s">
        <v>38</v>
      </c>
      <c r="J2180" s="199" t="s">
        <v>415</v>
      </c>
      <c r="K2180" s="201">
        <v>45306</v>
      </c>
      <c r="L2180" s="199" t="s">
        <v>3319</v>
      </c>
      <c r="M2180" s="199" t="s">
        <v>3320</v>
      </c>
    </row>
    <row r="2181" spans="1:13" ht="85.5">
      <c r="A2181" s="199">
        <v>2180</v>
      </c>
      <c r="B2181" s="199" t="s">
        <v>5463</v>
      </c>
      <c r="C2181" s="199" t="s">
        <v>34</v>
      </c>
      <c r="D2181" s="199" t="s">
        <v>35</v>
      </c>
      <c r="E2181" s="199">
        <v>600</v>
      </c>
      <c r="F2181" s="199" t="s">
        <v>988</v>
      </c>
      <c r="G2181" s="199" t="s">
        <v>5247</v>
      </c>
      <c r="H2181" s="200">
        <v>1332</v>
      </c>
      <c r="I2181" s="199" t="s">
        <v>38</v>
      </c>
      <c r="J2181" s="199" t="s">
        <v>415</v>
      </c>
      <c r="K2181" s="201">
        <v>45306</v>
      </c>
      <c r="L2181" s="199" t="s">
        <v>3319</v>
      </c>
      <c r="M2181" s="199" t="s">
        <v>3320</v>
      </c>
    </row>
    <row r="2182" spans="1:13" ht="85.5">
      <c r="A2182" s="199">
        <v>2181</v>
      </c>
      <c r="B2182" s="199" t="s">
        <v>5464</v>
      </c>
      <c r="C2182" s="199" t="s">
        <v>34</v>
      </c>
      <c r="D2182" s="199" t="s">
        <v>35</v>
      </c>
      <c r="E2182" s="199">
        <v>225000</v>
      </c>
      <c r="F2182" s="199" t="s">
        <v>4678</v>
      </c>
      <c r="G2182" s="199" t="s">
        <v>5247</v>
      </c>
      <c r="H2182" s="200">
        <v>105750</v>
      </c>
      <c r="I2182" s="199" t="s">
        <v>38</v>
      </c>
      <c r="J2182" s="199" t="s">
        <v>415</v>
      </c>
      <c r="K2182" s="201">
        <v>45306</v>
      </c>
      <c r="L2182" s="199" t="s">
        <v>3319</v>
      </c>
      <c r="M2182" s="199" t="s">
        <v>3320</v>
      </c>
    </row>
    <row r="2183" spans="1:13" ht="85.5">
      <c r="A2183" s="199">
        <v>2182</v>
      </c>
      <c r="B2183" s="199" t="s">
        <v>5464</v>
      </c>
      <c r="C2183" s="199" t="s">
        <v>34</v>
      </c>
      <c r="D2183" s="199" t="s">
        <v>35</v>
      </c>
      <c r="E2183" s="199">
        <v>75000</v>
      </c>
      <c r="F2183" s="199" t="s">
        <v>4678</v>
      </c>
      <c r="G2183" s="199" t="s">
        <v>5247</v>
      </c>
      <c r="H2183" s="200">
        <v>35250</v>
      </c>
      <c r="I2183" s="199" t="s">
        <v>38</v>
      </c>
      <c r="J2183" s="199" t="s">
        <v>415</v>
      </c>
      <c r="K2183" s="201">
        <v>45306</v>
      </c>
      <c r="L2183" s="199" t="s">
        <v>3319</v>
      </c>
      <c r="M2183" s="199" t="s">
        <v>3320</v>
      </c>
    </row>
    <row r="2184" spans="1:13" ht="85.5">
      <c r="A2184" s="199">
        <v>2183</v>
      </c>
      <c r="B2184" s="199" t="s">
        <v>5465</v>
      </c>
      <c r="C2184" s="199" t="s">
        <v>34</v>
      </c>
      <c r="D2184" s="199" t="s">
        <v>35</v>
      </c>
      <c r="E2184" s="199">
        <v>1125000</v>
      </c>
      <c r="F2184" s="199" t="s">
        <v>4678</v>
      </c>
      <c r="G2184" s="199" t="s">
        <v>5247</v>
      </c>
      <c r="H2184" s="200">
        <v>528750</v>
      </c>
      <c r="I2184" s="199" t="s">
        <v>38</v>
      </c>
      <c r="J2184" s="199" t="s">
        <v>415</v>
      </c>
      <c r="K2184" s="201">
        <v>45306</v>
      </c>
      <c r="L2184" s="199" t="s">
        <v>3319</v>
      </c>
      <c r="M2184" s="199" t="s">
        <v>3320</v>
      </c>
    </row>
    <row r="2185" spans="1:13" ht="85.5">
      <c r="A2185" s="199">
        <v>2184</v>
      </c>
      <c r="B2185" s="199" t="s">
        <v>5465</v>
      </c>
      <c r="C2185" s="199" t="s">
        <v>34</v>
      </c>
      <c r="D2185" s="199" t="s">
        <v>35</v>
      </c>
      <c r="E2185" s="199">
        <v>375000</v>
      </c>
      <c r="F2185" s="199" t="s">
        <v>4678</v>
      </c>
      <c r="G2185" s="199" t="s">
        <v>5247</v>
      </c>
      <c r="H2185" s="200">
        <v>176250</v>
      </c>
      <c r="I2185" s="199" t="s">
        <v>38</v>
      </c>
      <c r="J2185" s="199" t="s">
        <v>415</v>
      </c>
      <c r="K2185" s="201">
        <v>45306</v>
      </c>
      <c r="L2185" s="199" t="s">
        <v>3319</v>
      </c>
      <c r="M2185" s="199" t="s">
        <v>3320</v>
      </c>
    </row>
    <row r="2186" spans="1:13" ht="85.5">
      <c r="A2186" s="199">
        <v>2185</v>
      </c>
      <c r="B2186" s="199" t="s">
        <v>5466</v>
      </c>
      <c r="C2186" s="199" t="s">
        <v>34</v>
      </c>
      <c r="D2186" s="199" t="s">
        <v>35</v>
      </c>
      <c r="E2186" s="199">
        <v>12000</v>
      </c>
      <c r="F2186" s="199" t="s">
        <v>4678</v>
      </c>
      <c r="G2186" s="199" t="s">
        <v>5247</v>
      </c>
      <c r="H2186" s="200">
        <v>3600</v>
      </c>
      <c r="I2186" s="199" t="s">
        <v>38</v>
      </c>
      <c r="J2186" s="199" t="s">
        <v>415</v>
      </c>
      <c r="K2186" s="201">
        <v>45306</v>
      </c>
      <c r="L2186" s="199" t="s">
        <v>3319</v>
      </c>
      <c r="M2186" s="199" t="s">
        <v>3320</v>
      </c>
    </row>
    <row r="2187" spans="1:13" ht="85.5">
      <c r="A2187" s="199">
        <v>2186</v>
      </c>
      <c r="B2187" s="199" t="s">
        <v>5467</v>
      </c>
      <c r="C2187" s="199" t="s">
        <v>34</v>
      </c>
      <c r="D2187" s="199" t="s">
        <v>35</v>
      </c>
      <c r="E2187" s="199">
        <v>4500</v>
      </c>
      <c r="F2187" s="199" t="s">
        <v>5254</v>
      </c>
      <c r="G2187" s="199" t="s">
        <v>5247</v>
      </c>
      <c r="H2187" s="200">
        <v>48285</v>
      </c>
      <c r="I2187" s="199" t="s">
        <v>38</v>
      </c>
      <c r="J2187" s="199" t="s">
        <v>415</v>
      </c>
      <c r="K2187" s="201">
        <v>45306</v>
      </c>
      <c r="L2187" s="199" t="s">
        <v>3319</v>
      </c>
      <c r="M2187" s="199" t="s">
        <v>3320</v>
      </c>
    </row>
    <row r="2188" spans="1:13" ht="85.5">
      <c r="A2188" s="199">
        <v>2187</v>
      </c>
      <c r="B2188" s="199" t="s">
        <v>5468</v>
      </c>
      <c r="C2188" s="199" t="s">
        <v>34</v>
      </c>
      <c r="D2188" s="199" t="s">
        <v>35</v>
      </c>
      <c r="E2188" s="199">
        <v>15200</v>
      </c>
      <c r="F2188" s="199" t="s">
        <v>4678</v>
      </c>
      <c r="G2188" s="199" t="s">
        <v>5247</v>
      </c>
      <c r="H2188" s="200">
        <v>6384</v>
      </c>
      <c r="I2188" s="199" t="s">
        <v>38</v>
      </c>
      <c r="J2188" s="199" t="s">
        <v>415</v>
      </c>
      <c r="K2188" s="201">
        <v>45306</v>
      </c>
      <c r="L2188" s="199" t="s">
        <v>3319</v>
      </c>
      <c r="M2188" s="199" t="s">
        <v>3320</v>
      </c>
    </row>
    <row r="2189" spans="1:13" ht="85.5">
      <c r="A2189" s="199">
        <v>2188</v>
      </c>
      <c r="B2189" s="199" t="s">
        <v>5469</v>
      </c>
      <c r="C2189" s="199" t="s">
        <v>34</v>
      </c>
      <c r="D2189" s="199" t="s">
        <v>35</v>
      </c>
      <c r="E2189" s="199">
        <v>1600</v>
      </c>
      <c r="F2189" s="199" t="s">
        <v>988</v>
      </c>
      <c r="G2189" s="199" t="s">
        <v>5247</v>
      </c>
      <c r="H2189" s="200">
        <v>5248</v>
      </c>
      <c r="I2189" s="199" t="s">
        <v>38</v>
      </c>
      <c r="J2189" s="199" t="s">
        <v>415</v>
      </c>
      <c r="K2189" s="201">
        <v>45306</v>
      </c>
      <c r="L2189" s="199" t="s">
        <v>3319</v>
      </c>
      <c r="M2189" s="199" t="s">
        <v>3320</v>
      </c>
    </row>
    <row r="2190" spans="1:13" ht="85.5">
      <c r="A2190" s="199">
        <v>2189</v>
      </c>
      <c r="B2190" s="199" t="s">
        <v>5470</v>
      </c>
      <c r="C2190" s="199" t="s">
        <v>34</v>
      </c>
      <c r="D2190" s="199" t="s">
        <v>35</v>
      </c>
      <c r="E2190" s="199">
        <v>210000</v>
      </c>
      <c r="F2190" s="199" t="s">
        <v>4678</v>
      </c>
      <c r="G2190" s="199" t="s">
        <v>5247</v>
      </c>
      <c r="H2190" s="200">
        <v>14700</v>
      </c>
      <c r="I2190" s="199" t="s">
        <v>38</v>
      </c>
      <c r="J2190" s="199" t="s">
        <v>415</v>
      </c>
      <c r="K2190" s="201">
        <v>45306</v>
      </c>
      <c r="L2190" s="199" t="s">
        <v>3319</v>
      </c>
      <c r="M2190" s="199" t="s">
        <v>3320</v>
      </c>
    </row>
    <row r="2191" spans="1:13" ht="85.5">
      <c r="A2191" s="199">
        <v>2190</v>
      </c>
      <c r="B2191" s="199" t="s">
        <v>5471</v>
      </c>
      <c r="C2191" s="199" t="s">
        <v>34</v>
      </c>
      <c r="D2191" s="199" t="s">
        <v>35</v>
      </c>
      <c r="E2191" s="199">
        <v>37500</v>
      </c>
      <c r="F2191" s="199" t="s">
        <v>5260</v>
      </c>
      <c r="G2191" s="199" t="s">
        <v>5247</v>
      </c>
      <c r="H2191" s="200">
        <v>114000</v>
      </c>
      <c r="I2191" s="199" t="s">
        <v>38</v>
      </c>
      <c r="J2191" s="199" t="s">
        <v>415</v>
      </c>
      <c r="K2191" s="201">
        <v>45306</v>
      </c>
      <c r="L2191" s="199" t="s">
        <v>3319</v>
      </c>
      <c r="M2191" s="199" t="s">
        <v>3320</v>
      </c>
    </row>
    <row r="2192" spans="1:13" ht="85.5">
      <c r="A2192" s="199">
        <v>2191</v>
      </c>
      <c r="B2192" s="199" t="s">
        <v>5471</v>
      </c>
      <c r="C2192" s="199" t="s">
        <v>34</v>
      </c>
      <c r="D2192" s="199" t="s">
        <v>35</v>
      </c>
      <c r="E2192" s="199">
        <v>12500</v>
      </c>
      <c r="F2192" s="199" t="s">
        <v>5260</v>
      </c>
      <c r="G2192" s="199" t="s">
        <v>5247</v>
      </c>
      <c r="H2192" s="200">
        <v>38000</v>
      </c>
      <c r="I2192" s="199" t="s">
        <v>38</v>
      </c>
      <c r="J2192" s="199" t="s">
        <v>415</v>
      </c>
      <c r="K2192" s="201">
        <v>45306</v>
      </c>
      <c r="L2192" s="199" t="s">
        <v>3319</v>
      </c>
      <c r="M2192" s="199" t="s">
        <v>3320</v>
      </c>
    </row>
    <row r="2193" spans="1:13" ht="85.5">
      <c r="A2193" s="199">
        <v>2192</v>
      </c>
      <c r="B2193" s="199" t="s">
        <v>5472</v>
      </c>
      <c r="C2193" s="199" t="s">
        <v>34</v>
      </c>
      <c r="D2193" s="199" t="s">
        <v>35</v>
      </c>
      <c r="E2193" s="199">
        <v>20000</v>
      </c>
      <c r="F2193" s="199" t="s">
        <v>4678</v>
      </c>
      <c r="G2193" s="199" t="s">
        <v>5247</v>
      </c>
      <c r="H2193" s="200">
        <v>13600</v>
      </c>
      <c r="I2193" s="199" t="s">
        <v>38</v>
      </c>
      <c r="J2193" s="199" t="s">
        <v>415</v>
      </c>
      <c r="K2193" s="201">
        <v>45306</v>
      </c>
      <c r="L2193" s="199" t="s">
        <v>3319</v>
      </c>
      <c r="M2193" s="199" t="s">
        <v>3320</v>
      </c>
    </row>
    <row r="2194" spans="1:13" ht="85.5">
      <c r="A2194" s="199">
        <v>2193</v>
      </c>
      <c r="B2194" s="199" t="s">
        <v>5473</v>
      </c>
      <c r="C2194" s="199" t="s">
        <v>34</v>
      </c>
      <c r="D2194" s="199" t="s">
        <v>35</v>
      </c>
      <c r="E2194" s="199">
        <v>300</v>
      </c>
      <c r="F2194" s="199" t="s">
        <v>988</v>
      </c>
      <c r="G2194" s="199" t="s">
        <v>5247</v>
      </c>
      <c r="H2194" s="200">
        <v>4452</v>
      </c>
      <c r="I2194" s="199" t="s">
        <v>38</v>
      </c>
      <c r="J2194" s="199" t="s">
        <v>415</v>
      </c>
      <c r="K2194" s="201">
        <v>45306</v>
      </c>
      <c r="L2194" s="199" t="s">
        <v>3319</v>
      </c>
      <c r="M2194" s="199" t="s">
        <v>3320</v>
      </c>
    </row>
    <row r="2195" spans="1:13" ht="128.25">
      <c r="A2195" s="199">
        <v>2194</v>
      </c>
      <c r="B2195" s="199" t="s">
        <v>5474</v>
      </c>
      <c r="C2195" s="199" t="s">
        <v>34</v>
      </c>
      <c r="D2195" s="199" t="s">
        <v>35</v>
      </c>
      <c r="E2195" s="199">
        <v>300</v>
      </c>
      <c r="F2195" s="199" t="s">
        <v>988</v>
      </c>
      <c r="G2195" s="199" t="s">
        <v>5247</v>
      </c>
      <c r="H2195" s="200">
        <v>9555</v>
      </c>
      <c r="I2195" s="199" t="s">
        <v>38</v>
      </c>
      <c r="J2195" s="199" t="s">
        <v>415</v>
      </c>
      <c r="K2195" s="201">
        <v>45306</v>
      </c>
      <c r="L2195" s="199" t="s">
        <v>3319</v>
      </c>
      <c r="M2195" s="199" t="s">
        <v>3320</v>
      </c>
    </row>
    <row r="2196" spans="1:13" ht="85.5">
      <c r="A2196" s="199">
        <v>2195</v>
      </c>
      <c r="B2196" s="199" t="s">
        <v>5475</v>
      </c>
      <c r="C2196" s="199" t="s">
        <v>34</v>
      </c>
      <c r="D2196" s="199" t="s">
        <v>35</v>
      </c>
      <c r="E2196" s="199">
        <v>157500</v>
      </c>
      <c r="F2196" s="199" t="s">
        <v>5260</v>
      </c>
      <c r="G2196" s="199" t="s">
        <v>5247</v>
      </c>
      <c r="H2196" s="200">
        <v>274050</v>
      </c>
      <c r="I2196" s="199" t="s">
        <v>38</v>
      </c>
      <c r="J2196" s="199" t="s">
        <v>415</v>
      </c>
      <c r="K2196" s="201">
        <v>45306</v>
      </c>
      <c r="L2196" s="199" t="s">
        <v>3319</v>
      </c>
      <c r="M2196" s="199" t="s">
        <v>3320</v>
      </c>
    </row>
    <row r="2197" spans="1:13" ht="85.5">
      <c r="A2197" s="199">
        <v>2196</v>
      </c>
      <c r="B2197" s="199" t="s">
        <v>5475</v>
      </c>
      <c r="C2197" s="199" t="s">
        <v>34</v>
      </c>
      <c r="D2197" s="199" t="s">
        <v>35</v>
      </c>
      <c r="E2197" s="199">
        <v>52500</v>
      </c>
      <c r="F2197" s="199" t="s">
        <v>5260</v>
      </c>
      <c r="G2197" s="199" t="s">
        <v>5247</v>
      </c>
      <c r="H2197" s="200">
        <v>91350</v>
      </c>
      <c r="I2197" s="199" t="s">
        <v>38</v>
      </c>
      <c r="J2197" s="199" t="s">
        <v>415</v>
      </c>
      <c r="K2197" s="201">
        <v>45306</v>
      </c>
      <c r="L2197" s="199" t="s">
        <v>3319</v>
      </c>
      <c r="M2197" s="199" t="s">
        <v>3320</v>
      </c>
    </row>
    <row r="2198" spans="1:13" ht="85.5">
      <c r="A2198" s="199">
        <v>2197</v>
      </c>
      <c r="B2198" s="199" t="s">
        <v>5476</v>
      </c>
      <c r="C2198" s="199" t="s">
        <v>34</v>
      </c>
      <c r="D2198" s="199" t="s">
        <v>35</v>
      </c>
      <c r="E2198" s="199">
        <v>100</v>
      </c>
      <c r="F2198" s="199" t="s">
        <v>988</v>
      </c>
      <c r="G2198" s="199" t="s">
        <v>5247</v>
      </c>
      <c r="H2198" s="200">
        <v>1594</v>
      </c>
      <c r="I2198" s="199" t="s">
        <v>38</v>
      </c>
      <c r="J2198" s="199" t="s">
        <v>415</v>
      </c>
      <c r="K2198" s="201">
        <v>45306</v>
      </c>
      <c r="L2198" s="199" t="s">
        <v>3319</v>
      </c>
      <c r="M2198" s="199" t="s">
        <v>3320</v>
      </c>
    </row>
    <row r="2199" spans="1:13" ht="85.5">
      <c r="A2199" s="199">
        <v>2198</v>
      </c>
      <c r="B2199" s="199" t="s">
        <v>5477</v>
      </c>
      <c r="C2199" s="199" t="s">
        <v>34</v>
      </c>
      <c r="D2199" s="199" t="s">
        <v>35</v>
      </c>
      <c r="E2199" s="199">
        <v>157500</v>
      </c>
      <c r="F2199" s="199" t="s">
        <v>4678</v>
      </c>
      <c r="G2199" s="199" t="s">
        <v>5247</v>
      </c>
      <c r="H2199" s="200">
        <v>113400</v>
      </c>
      <c r="I2199" s="199" t="s">
        <v>38</v>
      </c>
      <c r="J2199" s="199" t="s">
        <v>415</v>
      </c>
      <c r="K2199" s="201">
        <v>45306</v>
      </c>
      <c r="L2199" s="199" t="s">
        <v>3319</v>
      </c>
      <c r="M2199" s="199" t="s">
        <v>3320</v>
      </c>
    </row>
    <row r="2200" spans="1:13" ht="85.5">
      <c r="A2200" s="199">
        <v>2199</v>
      </c>
      <c r="B2200" s="199" t="s">
        <v>5477</v>
      </c>
      <c r="C2200" s="199" t="s">
        <v>34</v>
      </c>
      <c r="D2200" s="199" t="s">
        <v>35</v>
      </c>
      <c r="E2200" s="199">
        <v>52500</v>
      </c>
      <c r="F2200" s="199" t="s">
        <v>4678</v>
      </c>
      <c r="G2200" s="199" t="s">
        <v>5247</v>
      </c>
      <c r="H2200" s="200">
        <v>37800</v>
      </c>
      <c r="I2200" s="199" t="s">
        <v>38</v>
      </c>
      <c r="J2200" s="199" t="s">
        <v>415</v>
      </c>
      <c r="K2200" s="201">
        <v>45306</v>
      </c>
      <c r="L2200" s="199" t="s">
        <v>3319</v>
      </c>
      <c r="M2200" s="199" t="s">
        <v>3320</v>
      </c>
    </row>
    <row r="2201" spans="1:13" ht="85.5">
      <c r="A2201" s="199">
        <v>2200</v>
      </c>
      <c r="B2201" s="199" t="s">
        <v>5478</v>
      </c>
      <c r="C2201" s="199" t="s">
        <v>34</v>
      </c>
      <c r="D2201" s="199" t="s">
        <v>35</v>
      </c>
      <c r="E2201" s="199">
        <v>1800</v>
      </c>
      <c r="F2201" s="199" t="s">
        <v>988</v>
      </c>
      <c r="G2201" s="199" t="s">
        <v>5247</v>
      </c>
      <c r="H2201" s="200">
        <v>16524</v>
      </c>
      <c r="I2201" s="199" t="s">
        <v>38</v>
      </c>
      <c r="J2201" s="199" t="s">
        <v>415</v>
      </c>
      <c r="K2201" s="201">
        <v>45306</v>
      </c>
      <c r="L2201" s="199" t="s">
        <v>3319</v>
      </c>
      <c r="M2201" s="199" t="s">
        <v>3320</v>
      </c>
    </row>
    <row r="2202" spans="1:13" ht="85.5">
      <c r="A2202" s="199">
        <v>2201</v>
      </c>
      <c r="B2202" s="199" t="s">
        <v>5479</v>
      </c>
      <c r="C2202" s="199" t="s">
        <v>34</v>
      </c>
      <c r="D2202" s="199" t="s">
        <v>35</v>
      </c>
      <c r="E2202" s="199">
        <v>60000</v>
      </c>
      <c r="F2202" s="199" t="s">
        <v>4678</v>
      </c>
      <c r="G2202" s="199" t="s">
        <v>5247</v>
      </c>
      <c r="H2202" s="200">
        <v>27600</v>
      </c>
      <c r="I2202" s="199" t="s">
        <v>38</v>
      </c>
      <c r="J2202" s="199" t="s">
        <v>415</v>
      </c>
      <c r="K2202" s="201">
        <v>45306</v>
      </c>
      <c r="L2202" s="199" t="s">
        <v>3319</v>
      </c>
      <c r="M2202" s="199" t="s">
        <v>3320</v>
      </c>
    </row>
    <row r="2203" spans="1:13" ht="85.5">
      <c r="A2203" s="199">
        <v>2202</v>
      </c>
      <c r="B2203" s="199" t="s">
        <v>5480</v>
      </c>
      <c r="C2203" s="199" t="s">
        <v>34</v>
      </c>
      <c r="D2203" s="199" t="s">
        <v>35</v>
      </c>
      <c r="E2203" s="199">
        <v>380000</v>
      </c>
      <c r="F2203" s="199" t="s">
        <v>4678</v>
      </c>
      <c r="G2203" s="199" t="s">
        <v>5247</v>
      </c>
      <c r="H2203" s="200">
        <v>49400</v>
      </c>
      <c r="I2203" s="199" t="s">
        <v>38</v>
      </c>
      <c r="J2203" s="199" t="s">
        <v>415</v>
      </c>
      <c r="K2203" s="201">
        <v>45306</v>
      </c>
      <c r="L2203" s="199" t="s">
        <v>3319</v>
      </c>
      <c r="M2203" s="199" t="s">
        <v>3320</v>
      </c>
    </row>
    <row r="2204" spans="1:13" ht="85.5">
      <c r="A2204" s="199">
        <v>2203</v>
      </c>
      <c r="B2204" s="199" t="s">
        <v>5481</v>
      </c>
      <c r="C2204" s="199" t="s">
        <v>34</v>
      </c>
      <c r="D2204" s="199" t="s">
        <v>35</v>
      </c>
      <c r="E2204" s="199">
        <v>320</v>
      </c>
      <c r="F2204" s="199" t="s">
        <v>5482</v>
      </c>
      <c r="G2204" s="199" t="s">
        <v>5483</v>
      </c>
      <c r="H2204" s="200">
        <v>16236.8</v>
      </c>
      <c r="I2204" s="199" t="s">
        <v>20</v>
      </c>
      <c r="J2204" s="199" t="s">
        <v>415</v>
      </c>
      <c r="K2204" s="201">
        <v>45384</v>
      </c>
      <c r="L2204" s="199" t="s">
        <v>3319</v>
      </c>
      <c r="M2204" s="199" t="s">
        <v>3320</v>
      </c>
    </row>
    <row r="2205" spans="1:13" ht="156.75">
      <c r="A2205" s="199">
        <v>2204</v>
      </c>
      <c r="B2205" s="199" t="s">
        <v>5484</v>
      </c>
      <c r="C2205" s="199" t="s">
        <v>34</v>
      </c>
      <c r="D2205" s="199" t="s">
        <v>35</v>
      </c>
      <c r="E2205" s="199">
        <v>100</v>
      </c>
      <c r="F2205" s="199" t="s">
        <v>5482</v>
      </c>
      <c r="G2205" s="199" t="s">
        <v>5483</v>
      </c>
      <c r="H2205" s="200">
        <v>6113</v>
      </c>
      <c r="I2205" s="199" t="s">
        <v>20</v>
      </c>
      <c r="J2205" s="199" t="s">
        <v>415</v>
      </c>
      <c r="K2205" s="201">
        <v>45384</v>
      </c>
      <c r="L2205" s="199" t="s">
        <v>3319</v>
      </c>
      <c r="M2205" s="199" t="s">
        <v>3320</v>
      </c>
    </row>
    <row r="2206" spans="1:13" ht="85.5">
      <c r="A2206" s="199">
        <v>2205</v>
      </c>
      <c r="B2206" s="199" t="s">
        <v>5485</v>
      </c>
      <c r="C2206" s="199" t="s">
        <v>34</v>
      </c>
      <c r="D2206" s="199" t="s">
        <v>35</v>
      </c>
      <c r="E2206" s="199">
        <v>200</v>
      </c>
      <c r="F2206" s="199" t="s">
        <v>5482</v>
      </c>
      <c r="G2206" s="199" t="s">
        <v>5483</v>
      </c>
      <c r="H2206" s="200">
        <v>33368</v>
      </c>
      <c r="I2206" s="199" t="s">
        <v>20</v>
      </c>
      <c r="J2206" s="199" t="s">
        <v>415</v>
      </c>
      <c r="K2206" s="201">
        <v>45384</v>
      </c>
      <c r="L2206" s="199" t="s">
        <v>3319</v>
      </c>
      <c r="M2206" s="199" t="s">
        <v>3320</v>
      </c>
    </row>
    <row r="2207" spans="1:13" ht="85.5">
      <c r="A2207" s="199">
        <v>2206</v>
      </c>
      <c r="B2207" s="199" t="s">
        <v>5486</v>
      </c>
      <c r="C2207" s="199" t="s">
        <v>34</v>
      </c>
      <c r="D2207" s="199" t="s">
        <v>35</v>
      </c>
      <c r="E2207" s="199">
        <v>720</v>
      </c>
      <c r="F2207" s="199" t="s">
        <v>5482</v>
      </c>
      <c r="G2207" s="199" t="s">
        <v>5483</v>
      </c>
      <c r="H2207" s="200">
        <v>64800</v>
      </c>
      <c r="I2207" s="199" t="s">
        <v>20</v>
      </c>
      <c r="J2207" s="199" t="s">
        <v>415</v>
      </c>
      <c r="K2207" s="201">
        <v>45384</v>
      </c>
      <c r="L2207" s="199" t="s">
        <v>3319</v>
      </c>
      <c r="M2207" s="199" t="s">
        <v>3320</v>
      </c>
    </row>
    <row r="2208" spans="1:13" ht="142.5">
      <c r="A2208" s="199">
        <v>2207</v>
      </c>
      <c r="B2208" s="199" t="s">
        <v>5487</v>
      </c>
      <c r="C2208" s="199" t="s">
        <v>34</v>
      </c>
      <c r="D2208" s="199" t="s">
        <v>35</v>
      </c>
      <c r="E2208" s="199">
        <v>60</v>
      </c>
      <c r="F2208" s="199" t="s">
        <v>5482</v>
      </c>
      <c r="G2208" s="199" t="s">
        <v>5483</v>
      </c>
      <c r="H2208" s="200">
        <v>3247.8</v>
      </c>
      <c r="I2208" s="199" t="s">
        <v>20</v>
      </c>
      <c r="J2208" s="199" t="s">
        <v>415</v>
      </c>
      <c r="K2208" s="201">
        <v>45384</v>
      </c>
      <c r="L2208" s="199" t="s">
        <v>3319</v>
      </c>
      <c r="M2208" s="199" t="s">
        <v>3320</v>
      </c>
    </row>
    <row r="2209" spans="1:13" ht="85.5">
      <c r="A2209" s="199">
        <v>2208</v>
      </c>
      <c r="B2209" s="199" t="s">
        <v>5488</v>
      </c>
      <c r="C2209" s="199" t="s">
        <v>34</v>
      </c>
      <c r="D2209" s="199" t="s">
        <v>35</v>
      </c>
      <c r="E2209" s="199">
        <v>1000</v>
      </c>
      <c r="F2209" s="199" t="s">
        <v>5482</v>
      </c>
      <c r="G2209" s="199" t="s">
        <v>5483</v>
      </c>
      <c r="H2209" s="200">
        <v>47070</v>
      </c>
      <c r="I2209" s="199" t="s">
        <v>20</v>
      </c>
      <c r="J2209" s="199" t="s">
        <v>415</v>
      </c>
      <c r="K2209" s="201">
        <v>45384</v>
      </c>
      <c r="L2209" s="199" t="s">
        <v>3319</v>
      </c>
      <c r="M2209" s="199" t="s">
        <v>3320</v>
      </c>
    </row>
    <row r="2210" spans="1:13" ht="85.5">
      <c r="A2210" s="199">
        <v>2209</v>
      </c>
      <c r="B2210" s="199" t="s">
        <v>5489</v>
      </c>
      <c r="C2210" s="199" t="s">
        <v>34</v>
      </c>
      <c r="D2210" s="199" t="s">
        <v>35</v>
      </c>
      <c r="E2210" s="199">
        <v>60</v>
      </c>
      <c r="F2210" s="199" t="s">
        <v>2378</v>
      </c>
      <c r="G2210" s="199" t="s">
        <v>5483</v>
      </c>
      <c r="H2210" s="200">
        <v>8454</v>
      </c>
      <c r="I2210" s="199" t="s">
        <v>20</v>
      </c>
      <c r="J2210" s="199" t="s">
        <v>415</v>
      </c>
      <c r="K2210" s="201">
        <v>45384</v>
      </c>
      <c r="L2210" s="199" t="s">
        <v>3319</v>
      </c>
      <c r="M2210" s="199" t="s">
        <v>3320</v>
      </c>
    </row>
    <row r="2211" spans="1:13" ht="99.75">
      <c r="A2211" s="199">
        <v>2210</v>
      </c>
      <c r="B2211" s="199" t="s">
        <v>5490</v>
      </c>
      <c r="C2211" s="199" t="s">
        <v>34</v>
      </c>
      <c r="D2211" s="199" t="s">
        <v>35</v>
      </c>
      <c r="E2211" s="199">
        <v>40</v>
      </c>
      <c r="F2211" s="199" t="s">
        <v>2378</v>
      </c>
      <c r="G2211" s="199" t="s">
        <v>5483</v>
      </c>
      <c r="H2211" s="200">
        <v>6122.8</v>
      </c>
      <c r="I2211" s="199" t="s">
        <v>20</v>
      </c>
      <c r="J2211" s="199" t="s">
        <v>415</v>
      </c>
      <c r="K2211" s="201">
        <v>45384</v>
      </c>
      <c r="L2211" s="199" t="s">
        <v>3319</v>
      </c>
      <c r="M2211" s="199" t="s">
        <v>3320</v>
      </c>
    </row>
    <row r="2212" spans="1:13" ht="85.5">
      <c r="A2212" s="199">
        <v>2211</v>
      </c>
      <c r="B2212" s="199" t="s">
        <v>5491</v>
      </c>
      <c r="C2212" s="199" t="s">
        <v>34</v>
      </c>
      <c r="D2212" s="199" t="s">
        <v>35</v>
      </c>
      <c r="E2212" s="199">
        <v>800</v>
      </c>
      <c r="F2212" s="199" t="s">
        <v>5482</v>
      </c>
      <c r="G2212" s="199" t="s">
        <v>5483</v>
      </c>
      <c r="H2212" s="200">
        <v>39064</v>
      </c>
      <c r="I2212" s="199" t="s">
        <v>20</v>
      </c>
      <c r="J2212" s="199" t="s">
        <v>415</v>
      </c>
      <c r="K2212" s="201">
        <v>45384</v>
      </c>
      <c r="L2212" s="199" t="s">
        <v>3319</v>
      </c>
      <c r="M2212" s="199" t="s">
        <v>3320</v>
      </c>
    </row>
    <row r="2213" spans="1:13" ht="99.75">
      <c r="A2213" s="199">
        <v>2212</v>
      </c>
      <c r="B2213" s="199" t="s">
        <v>5492</v>
      </c>
      <c r="C2213" s="199" t="s">
        <v>34</v>
      </c>
      <c r="D2213" s="199" t="s">
        <v>35</v>
      </c>
      <c r="E2213" s="199">
        <v>60</v>
      </c>
      <c r="F2213" s="199" t="s">
        <v>2378</v>
      </c>
      <c r="G2213" s="199" t="s">
        <v>5483</v>
      </c>
      <c r="H2213" s="200">
        <v>12608.4</v>
      </c>
      <c r="I2213" s="199" t="s">
        <v>20</v>
      </c>
      <c r="J2213" s="199" t="s">
        <v>415</v>
      </c>
      <c r="K2213" s="201">
        <v>45384</v>
      </c>
      <c r="L2213" s="199" t="s">
        <v>3319</v>
      </c>
      <c r="M2213" s="199" t="s">
        <v>3320</v>
      </c>
    </row>
    <row r="2214" spans="1:13" ht="99.75">
      <c r="A2214" s="199">
        <v>2213</v>
      </c>
      <c r="B2214" s="199" t="s">
        <v>5493</v>
      </c>
      <c r="C2214" s="199" t="s">
        <v>34</v>
      </c>
      <c r="D2214" s="199" t="s">
        <v>35</v>
      </c>
      <c r="E2214" s="199">
        <v>800</v>
      </c>
      <c r="F2214" s="199" t="s">
        <v>5482</v>
      </c>
      <c r="G2214" s="199" t="s">
        <v>5483</v>
      </c>
      <c r="H2214" s="200">
        <v>65120</v>
      </c>
      <c r="I2214" s="199" t="s">
        <v>20</v>
      </c>
      <c r="J2214" s="199" t="s">
        <v>415</v>
      </c>
      <c r="K2214" s="201">
        <v>45384</v>
      </c>
      <c r="L2214" s="199" t="s">
        <v>3319</v>
      </c>
      <c r="M2214" s="199" t="s">
        <v>3320</v>
      </c>
    </row>
    <row r="2215" spans="1:13" ht="114">
      <c r="A2215" s="199">
        <v>2214</v>
      </c>
      <c r="B2215" s="199" t="s">
        <v>5494</v>
      </c>
      <c r="C2215" s="199" t="s">
        <v>34</v>
      </c>
      <c r="D2215" s="199" t="s">
        <v>35</v>
      </c>
      <c r="E2215" s="199">
        <v>60</v>
      </c>
      <c r="F2215" s="199" t="s">
        <v>2378</v>
      </c>
      <c r="G2215" s="199" t="s">
        <v>5483</v>
      </c>
      <c r="H2215" s="200">
        <v>14679.6</v>
      </c>
      <c r="I2215" s="199" t="s">
        <v>20</v>
      </c>
      <c r="J2215" s="199" t="s">
        <v>415</v>
      </c>
      <c r="K2215" s="201">
        <v>45384</v>
      </c>
      <c r="L2215" s="199" t="s">
        <v>3319</v>
      </c>
      <c r="M2215" s="199" t="s">
        <v>3320</v>
      </c>
    </row>
    <row r="2216" spans="1:13" ht="85.5">
      <c r="A2216" s="199">
        <v>2215</v>
      </c>
      <c r="B2216" s="199" t="s">
        <v>5495</v>
      </c>
      <c r="C2216" s="199" t="s">
        <v>34</v>
      </c>
      <c r="D2216" s="199" t="s">
        <v>35</v>
      </c>
      <c r="E2216" s="199">
        <v>2400</v>
      </c>
      <c r="F2216" s="199" t="s">
        <v>5496</v>
      </c>
      <c r="G2216" s="199" t="s">
        <v>5483</v>
      </c>
      <c r="H2216" s="200">
        <v>2976</v>
      </c>
      <c r="I2216" s="199" t="s">
        <v>20</v>
      </c>
      <c r="J2216" s="199" t="s">
        <v>415</v>
      </c>
      <c r="K2216" s="201">
        <v>45384</v>
      </c>
      <c r="L2216" s="199" t="s">
        <v>3319</v>
      </c>
      <c r="M2216" s="199" t="s">
        <v>3320</v>
      </c>
    </row>
    <row r="2217" spans="1:13" ht="85.5">
      <c r="A2217" s="199">
        <v>2216</v>
      </c>
      <c r="B2217" s="199" t="s">
        <v>5497</v>
      </c>
      <c r="C2217" s="199" t="s">
        <v>34</v>
      </c>
      <c r="D2217" s="199" t="s">
        <v>35</v>
      </c>
      <c r="E2217" s="199">
        <v>1200</v>
      </c>
      <c r="F2217" s="199" t="s">
        <v>5498</v>
      </c>
      <c r="G2217" s="199" t="s">
        <v>5483</v>
      </c>
      <c r="H2217" s="200">
        <v>8544</v>
      </c>
      <c r="I2217" s="199" t="s">
        <v>20</v>
      </c>
      <c r="J2217" s="199" t="s">
        <v>415</v>
      </c>
      <c r="K2217" s="201">
        <v>45384</v>
      </c>
      <c r="L2217" s="199" t="s">
        <v>3319</v>
      </c>
      <c r="M2217" s="199" t="s">
        <v>3320</v>
      </c>
    </row>
    <row r="2218" spans="1:13" ht="85.5">
      <c r="A2218" s="199">
        <v>2217</v>
      </c>
      <c r="B2218" s="199" t="s">
        <v>5499</v>
      </c>
      <c r="C2218" s="199" t="s">
        <v>34</v>
      </c>
      <c r="D2218" s="199" t="s">
        <v>35</v>
      </c>
      <c r="E2218" s="199">
        <v>1800</v>
      </c>
      <c r="F2218" s="199" t="s">
        <v>5496</v>
      </c>
      <c r="G2218" s="199" t="s">
        <v>5483</v>
      </c>
      <c r="H2218" s="200">
        <v>1620</v>
      </c>
      <c r="I2218" s="199" t="s">
        <v>20</v>
      </c>
      <c r="J2218" s="199" t="s">
        <v>415</v>
      </c>
      <c r="K2218" s="201">
        <v>45384</v>
      </c>
      <c r="L2218" s="199" t="s">
        <v>3319</v>
      </c>
      <c r="M2218" s="199" t="s">
        <v>3320</v>
      </c>
    </row>
    <row r="2219" spans="1:13" ht="85.5">
      <c r="A2219" s="199">
        <v>2218</v>
      </c>
      <c r="B2219" s="199" t="s">
        <v>5500</v>
      </c>
      <c r="C2219" s="199" t="s">
        <v>34</v>
      </c>
      <c r="D2219" s="199" t="s">
        <v>35</v>
      </c>
      <c r="E2219" s="199">
        <v>1200</v>
      </c>
      <c r="F2219" s="199" t="s">
        <v>5498</v>
      </c>
      <c r="G2219" s="199" t="s">
        <v>5483</v>
      </c>
      <c r="H2219" s="200">
        <v>4320</v>
      </c>
      <c r="I2219" s="199" t="s">
        <v>20</v>
      </c>
      <c r="J2219" s="199" t="s">
        <v>415</v>
      </c>
      <c r="K2219" s="201">
        <v>45384</v>
      </c>
      <c r="L2219" s="199" t="s">
        <v>3319</v>
      </c>
      <c r="M2219" s="199" t="s">
        <v>3320</v>
      </c>
    </row>
    <row r="2220" spans="1:13" ht="85.5">
      <c r="A2220" s="199">
        <v>2219</v>
      </c>
      <c r="B2220" s="199" t="s">
        <v>5501</v>
      </c>
      <c r="C2220" s="199" t="s">
        <v>34</v>
      </c>
      <c r="D2220" s="199" t="s">
        <v>35</v>
      </c>
      <c r="E2220" s="199">
        <v>1200</v>
      </c>
      <c r="F2220" s="199" t="s">
        <v>5498</v>
      </c>
      <c r="G2220" s="199" t="s">
        <v>5483</v>
      </c>
      <c r="H2220" s="200">
        <v>1848</v>
      </c>
      <c r="I2220" s="199" t="s">
        <v>20</v>
      </c>
      <c r="J2220" s="199" t="s">
        <v>415</v>
      </c>
      <c r="K2220" s="201">
        <v>45384</v>
      </c>
      <c r="L2220" s="199" t="s">
        <v>3319</v>
      </c>
      <c r="M2220" s="199" t="s">
        <v>3320</v>
      </c>
    </row>
    <row r="2221" spans="1:13" ht="85.5">
      <c r="A2221" s="199">
        <v>2220</v>
      </c>
      <c r="B2221" s="199" t="s">
        <v>5502</v>
      </c>
      <c r="C2221" s="199" t="s">
        <v>34</v>
      </c>
      <c r="D2221" s="199" t="s">
        <v>35</v>
      </c>
      <c r="E2221" s="199">
        <v>600</v>
      </c>
      <c r="F2221" s="199" t="s">
        <v>5498</v>
      </c>
      <c r="G2221" s="199" t="s">
        <v>5483</v>
      </c>
      <c r="H2221" s="200">
        <v>1056</v>
      </c>
      <c r="I2221" s="199" t="s">
        <v>20</v>
      </c>
      <c r="J2221" s="199" t="s">
        <v>415</v>
      </c>
      <c r="K2221" s="201">
        <v>45384</v>
      </c>
      <c r="L2221" s="199" t="s">
        <v>3319</v>
      </c>
      <c r="M2221" s="199" t="s">
        <v>3320</v>
      </c>
    </row>
    <row r="2222" spans="1:13" ht="85.5">
      <c r="A2222" s="199">
        <v>2221</v>
      </c>
      <c r="B2222" s="199" t="s">
        <v>5503</v>
      </c>
      <c r="C2222" s="199" t="s">
        <v>34</v>
      </c>
      <c r="D2222" s="199" t="s">
        <v>35</v>
      </c>
      <c r="E2222" s="199">
        <v>600</v>
      </c>
      <c r="F2222" s="199" t="s">
        <v>5498</v>
      </c>
      <c r="G2222" s="199" t="s">
        <v>5483</v>
      </c>
      <c r="H2222" s="200">
        <v>2268</v>
      </c>
      <c r="I2222" s="199" t="s">
        <v>20</v>
      </c>
      <c r="J2222" s="199" t="s">
        <v>415</v>
      </c>
      <c r="K2222" s="201">
        <v>45384</v>
      </c>
      <c r="L2222" s="199" t="s">
        <v>3319</v>
      </c>
      <c r="M2222" s="199" t="s">
        <v>3320</v>
      </c>
    </row>
    <row r="2223" spans="1:13" ht="85.5">
      <c r="A2223" s="199">
        <v>2222</v>
      </c>
      <c r="B2223" s="199" t="s">
        <v>5504</v>
      </c>
      <c r="C2223" s="199" t="s">
        <v>34</v>
      </c>
      <c r="D2223" s="199" t="s">
        <v>35</v>
      </c>
      <c r="E2223" s="199">
        <v>600</v>
      </c>
      <c r="F2223" s="199" t="s">
        <v>5498</v>
      </c>
      <c r="G2223" s="199" t="s">
        <v>5483</v>
      </c>
      <c r="H2223" s="200">
        <v>5634</v>
      </c>
      <c r="I2223" s="199" t="s">
        <v>20</v>
      </c>
      <c r="J2223" s="199" t="s">
        <v>415</v>
      </c>
      <c r="K2223" s="201">
        <v>45384</v>
      </c>
      <c r="L2223" s="199" t="s">
        <v>3319</v>
      </c>
      <c r="M2223" s="199" t="s">
        <v>3320</v>
      </c>
    </row>
    <row r="2224" spans="1:13" ht="85.5">
      <c r="A2224" s="199">
        <v>2223</v>
      </c>
      <c r="B2224" s="199" t="s">
        <v>5505</v>
      </c>
      <c r="C2224" s="199" t="s">
        <v>34</v>
      </c>
      <c r="D2224" s="199" t="s">
        <v>35</v>
      </c>
      <c r="E2224" s="199">
        <v>960</v>
      </c>
      <c r="F2224" s="199" t="s">
        <v>5498</v>
      </c>
      <c r="G2224" s="199" t="s">
        <v>5483</v>
      </c>
      <c r="H2224" s="200">
        <v>9494</v>
      </c>
      <c r="I2224" s="199" t="s">
        <v>20</v>
      </c>
      <c r="J2224" s="199" t="s">
        <v>415</v>
      </c>
      <c r="K2224" s="201">
        <v>45384</v>
      </c>
      <c r="L2224" s="199" t="s">
        <v>3319</v>
      </c>
      <c r="M2224" s="199" t="s">
        <v>3320</v>
      </c>
    </row>
    <row r="2225" spans="1:13" ht="85.5">
      <c r="A2225" s="199">
        <v>2224</v>
      </c>
      <c r="B2225" s="199" t="s">
        <v>5506</v>
      </c>
      <c r="C2225" s="199" t="s">
        <v>34</v>
      </c>
      <c r="D2225" s="199" t="s">
        <v>35</v>
      </c>
      <c r="E2225" s="199">
        <v>600</v>
      </c>
      <c r="F2225" s="199" t="s">
        <v>5498</v>
      </c>
      <c r="G2225" s="199" t="s">
        <v>5483</v>
      </c>
      <c r="H2225" s="200">
        <v>648</v>
      </c>
      <c r="I2225" s="199" t="s">
        <v>20</v>
      </c>
      <c r="J2225" s="199" t="s">
        <v>415</v>
      </c>
      <c r="K2225" s="201">
        <v>45384</v>
      </c>
      <c r="L2225" s="199" t="s">
        <v>3319</v>
      </c>
      <c r="M2225" s="199" t="s">
        <v>3320</v>
      </c>
    </row>
    <row r="2226" spans="1:13" ht="85.5">
      <c r="A2226" s="199">
        <v>2225</v>
      </c>
      <c r="B2226" s="199" t="s">
        <v>5507</v>
      </c>
      <c r="C2226" s="199" t="s">
        <v>34</v>
      </c>
      <c r="D2226" s="199" t="s">
        <v>35</v>
      </c>
      <c r="E2226" s="199">
        <v>1600</v>
      </c>
      <c r="F2226" s="199" t="s">
        <v>5498</v>
      </c>
      <c r="G2226" s="199" t="s">
        <v>5483</v>
      </c>
      <c r="H2226" s="200">
        <v>2832</v>
      </c>
      <c r="I2226" s="199" t="s">
        <v>20</v>
      </c>
      <c r="J2226" s="199" t="s">
        <v>415</v>
      </c>
      <c r="K2226" s="201">
        <v>45384</v>
      </c>
      <c r="L2226" s="199" t="s">
        <v>3319</v>
      </c>
      <c r="M2226" s="199" t="s">
        <v>3320</v>
      </c>
    </row>
    <row r="2227" spans="1:13" ht="114">
      <c r="A2227" s="199">
        <v>2226</v>
      </c>
      <c r="B2227" s="199" t="s">
        <v>5508</v>
      </c>
      <c r="C2227" s="199" t="s">
        <v>34</v>
      </c>
      <c r="D2227" s="199" t="s">
        <v>35</v>
      </c>
      <c r="E2227" s="199">
        <v>28</v>
      </c>
      <c r="F2227" s="199" t="s">
        <v>2378</v>
      </c>
      <c r="G2227" s="199" t="s">
        <v>5483</v>
      </c>
      <c r="H2227" s="200">
        <v>2348.36</v>
      </c>
      <c r="I2227" s="199" t="s">
        <v>20</v>
      </c>
      <c r="J2227" s="199" t="s">
        <v>415</v>
      </c>
      <c r="K2227" s="201">
        <v>45384</v>
      </c>
      <c r="L2227" s="199" t="s">
        <v>3319</v>
      </c>
      <c r="M2227" s="199" t="s">
        <v>3320</v>
      </c>
    </row>
    <row r="2228" spans="1:13" ht="85.5">
      <c r="A2228" s="199">
        <v>2227</v>
      </c>
      <c r="B2228" s="199" t="s">
        <v>5509</v>
      </c>
      <c r="C2228" s="199" t="s">
        <v>34</v>
      </c>
      <c r="D2228" s="199" t="s">
        <v>35</v>
      </c>
      <c r="E2228" s="199">
        <v>2400</v>
      </c>
      <c r="F2228" s="199" t="s">
        <v>5498</v>
      </c>
      <c r="G2228" s="199" t="s">
        <v>5483</v>
      </c>
      <c r="H2228" s="200">
        <v>3360</v>
      </c>
      <c r="I2228" s="199" t="s">
        <v>20</v>
      </c>
      <c r="J2228" s="199" t="s">
        <v>415</v>
      </c>
      <c r="K2228" s="201">
        <v>45384</v>
      </c>
      <c r="L2228" s="199" t="s">
        <v>3319</v>
      </c>
      <c r="M2228" s="199" t="s">
        <v>3320</v>
      </c>
    </row>
    <row r="2229" spans="1:13" ht="99.75">
      <c r="A2229" s="199">
        <v>2228</v>
      </c>
      <c r="B2229" s="199" t="s">
        <v>5510</v>
      </c>
      <c r="C2229" s="199" t="s">
        <v>34</v>
      </c>
      <c r="D2229" s="199" t="s">
        <v>35</v>
      </c>
      <c r="E2229" s="199">
        <v>28</v>
      </c>
      <c r="F2229" s="199" t="s">
        <v>2378</v>
      </c>
      <c r="G2229" s="199" t="s">
        <v>5483</v>
      </c>
      <c r="H2229" s="200">
        <v>1301.1600000000001</v>
      </c>
      <c r="I2229" s="199" t="s">
        <v>20</v>
      </c>
      <c r="J2229" s="199" t="s">
        <v>415</v>
      </c>
      <c r="K2229" s="201">
        <v>45384</v>
      </c>
      <c r="L2229" s="199" t="s">
        <v>3319</v>
      </c>
      <c r="M2229" s="199" t="s">
        <v>3320</v>
      </c>
    </row>
    <row r="2230" spans="1:13" ht="85.5">
      <c r="A2230" s="199">
        <v>2229</v>
      </c>
      <c r="B2230" s="199" t="s">
        <v>5511</v>
      </c>
      <c r="C2230" s="199" t="s">
        <v>34</v>
      </c>
      <c r="D2230" s="199" t="s">
        <v>35</v>
      </c>
      <c r="E2230" s="199">
        <v>60</v>
      </c>
      <c r="F2230" s="199" t="s">
        <v>2378</v>
      </c>
      <c r="G2230" s="199" t="s">
        <v>5483</v>
      </c>
      <c r="H2230" s="200">
        <v>100675.8</v>
      </c>
      <c r="I2230" s="199" t="s">
        <v>20</v>
      </c>
      <c r="J2230" s="199" t="s">
        <v>415</v>
      </c>
      <c r="K2230" s="201">
        <v>45384</v>
      </c>
      <c r="L2230" s="199" t="s">
        <v>3319</v>
      </c>
      <c r="M2230" s="199" t="s">
        <v>3320</v>
      </c>
    </row>
    <row r="2231" spans="1:13" ht="85.5">
      <c r="A2231" s="199">
        <v>2230</v>
      </c>
      <c r="B2231" s="199" t="s">
        <v>5511</v>
      </c>
      <c r="C2231" s="199" t="s">
        <v>34</v>
      </c>
      <c r="D2231" s="199" t="s">
        <v>35</v>
      </c>
      <c r="E2231" s="199">
        <v>20</v>
      </c>
      <c r="F2231" s="199" t="s">
        <v>2378</v>
      </c>
      <c r="G2231" s="199" t="s">
        <v>5483</v>
      </c>
      <c r="H2231" s="200">
        <v>40213.199999999997</v>
      </c>
      <c r="I2231" s="199" t="s">
        <v>20</v>
      </c>
      <c r="J2231" s="199" t="s">
        <v>415</v>
      </c>
      <c r="K2231" s="201">
        <v>45384</v>
      </c>
      <c r="L2231" s="199" t="s">
        <v>3319</v>
      </c>
      <c r="M2231" s="199" t="s">
        <v>3320</v>
      </c>
    </row>
    <row r="2232" spans="1:13" ht="85.5">
      <c r="A2232" s="199">
        <v>2231</v>
      </c>
      <c r="B2232" s="199" t="s">
        <v>5512</v>
      </c>
      <c r="C2232" s="199" t="s">
        <v>34</v>
      </c>
      <c r="D2232" s="199" t="s">
        <v>35</v>
      </c>
      <c r="E2232" s="199">
        <v>600</v>
      </c>
      <c r="F2232" s="199" t="s">
        <v>5498</v>
      </c>
      <c r="G2232" s="199" t="s">
        <v>5483</v>
      </c>
      <c r="H2232" s="200">
        <v>4122</v>
      </c>
      <c r="I2232" s="199" t="s">
        <v>20</v>
      </c>
      <c r="J2232" s="199" t="s">
        <v>415</v>
      </c>
      <c r="K2232" s="201">
        <v>45384</v>
      </c>
      <c r="L2232" s="199" t="s">
        <v>3319</v>
      </c>
      <c r="M2232" s="199" t="s">
        <v>3320</v>
      </c>
    </row>
    <row r="2233" spans="1:13" ht="128.25">
      <c r="A2233" s="199">
        <v>2232</v>
      </c>
      <c r="B2233" s="199" t="s">
        <v>5513</v>
      </c>
      <c r="C2233" s="199" t="s">
        <v>34</v>
      </c>
      <c r="D2233" s="199" t="s">
        <v>35</v>
      </c>
      <c r="E2233" s="199">
        <v>800</v>
      </c>
      <c r="F2233" s="199" t="s">
        <v>5498</v>
      </c>
      <c r="G2233" s="199" t="s">
        <v>5483</v>
      </c>
      <c r="H2233" s="200">
        <v>672</v>
      </c>
      <c r="I2233" s="199" t="s">
        <v>20</v>
      </c>
      <c r="J2233" s="199" t="s">
        <v>415</v>
      </c>
      <c r="K2233" s="201">
        <v>45384</v>
      </c>
      <c r="L2233" s="199" t="s">
        <v>3319</v>
      </c>
      <c r="M2233" s="199" t="s">
        <v>3320</v>
      </c>
    </row>
    <row r="2234" spans="1:13" ht="85.5">
      <c r="A2234" s="199">
        <v>2233</v>
      </c>
      <c r="B2234" s="199" t="s">
        <v>5514</v>
      </c>
      <c r="C2234" s="199" t="s">
        <v>34</v>
      </c>
      <c r="D2234" s="199" t="s">
        <v>35</v>
      </c>
      <c r="E2234" s="199">
        <v>1200</v>
      </c>
      <c r="F2234" s="199" t="s">
        <v>5498</v>
      </c>
      <c r="G2234" s="199" t="s">
        <v>5483</v>
      </c>
      <c r="H2234" s="200">
        <v>3804</v>
      </c>
      <c r="I2234" s="199" t="s">
        <v>20</v>
      </c>
      <c r="J2234" s="199" t="s">
        <v>415</v>
      </c>
      <c r="K2234" s="201">
        <v>45384</v>
      </c>
      <c r="L2234" s="199" t="s">
        <v>3319</v>
      </c>
      <c r="M2234" s="199" t="s">
        <v>3320</v>
      </c>
    </row>
    <row r="2235" spans="1:13" ht="85.5">
      <c r="A2235" s="199">
        <v>2234</v>
      </c>
      <c r="B2235" s="199" t="s">
        <v>5515</v>
      </c>
      <c r="C2235" s="199" t="s">
        <v>34</v>
      </c>
      <c r="D2235" s="199" t="s">
        <v>35</v>
      </c>
      <c r="E2235" s="199">
        <v>1800</v>
      </c>
      <c r="F2235" s="199" t="s">
        <v>5498</v>
      </c>
      <c r="G2235" s="199" t="s">
        <v>5483</v>
      </c>
      <c r="H2235" s="200">
        <v>3420</v>
      </c>
      <c r="I2235" s="199" t="s">
        <v>20</v>
      </c>
      <c r="J2235" s="199" t="s">
        <v>415</v>
      </c>
      <c r="K2235" s="201">
        <v>45384</v>
      </c>
      <c r="L2235" s="199" t="s">
        <v>3319</v>
      </c>
      <c r="M2235" s="199" t="s">
        <v>3320</v>
      </c>
    </row>
    <row r="2236" spans="1:13" ht="85.5">
      <c r="A2236" s="199">
        <v>2235</v>
      </c>
      <c r="B2236" s="199" t="s">
        <v>5516</v>
      </c>
      <c r="C2236" s="199" t="s">
        <v>34</v>
      </c>
      <c r="D2236" s="199" t="s">
        <v>35</v>
      </c>
      <c r="E2236" s="199">
        <v>600</v>
      </c>
      <c r="F2236" s="199" t="s">
        <v>5498</v>
      </c>
      <c r="G2236" s="199" t="s">
        <v>5483</v>
      </c>
      <c r="H2236" s="200">
        <v>768</v>
      </c>
      <c r="I2236" s="199" t="s">
        <v>20</v>
      </c>
      <c r="J2236" s="199" t="s">
        <v>415</v>
      </c>
      <c r="K2236" s="201">
        <v>45384</v>
      </c>
      <c r="L2236" s="199" t="s">
        <v>3319</v>
      </c>
      <c r="M2236" s="199" t="s">
        <v>3320</v>
      </c>
    </row>
    <row r="2237" spans="1:13" ht="85.5">
      <c r="A2237" s="199">
        <v>2236</v>
      </c>
      <c r="B2237" s="199" t="s">
        <v>5517</v>
      </c>
      <c r="C2237" s="199" t="s">
        <v>34</v>
      </c>
      <c r="D2237" s="199" t="s">
        <v>35</v>
      </c>
      <c r="E2237" s="199">
        <v>48</v>
      </c>
      <c r="F2237" s="199" t="s">
        <v>2378</v>
      </c>
      <c r="G2237" s="199" t="s">
        <v>5483</v>
      </c>
      <c r="H2237" s="200">
        <v>3231.84</v>
      </c>
      <c r="I2237" s="199" t="s">
        <v>20</v>
      </c>
      <c r="J2237" s="199" t="s">
        <v>415</v>
      </c>
      <c r="K2237" s="201">
        <v>45384</v>
      </c>
      <c r="L2237" s="199" t="s">
        <v>3319</v>
      </c>
      <c r="M2237" s="199" t="s">
        <v>3320</v>
      </c>
    </row>
    <row r="2238" spans="1:13" ht="85.5">
      <c r="A2238" s="199">
        <v>2237</v>
      </c>
      <c r="B2238" s="199" t="s">
        <v>5518</v>
      </c>
      <c r="C2238" s="199" t="s">
        <v>34</v>
      </c>
      <c r="D2238" s="199" t="s">
        <v>35</v>
      </c>
      <c r="E2238" s="199">
        <v>48</v>
      </c>
      <c r="F2238" s="199" t="s">
        <v>2378</v>
      </c>
      <c r="G2238" s="199" t="s">
        <v>5483</v>
      </c>
      <c r="H2238" s="200">
        <v>858.72</v>
      </c>
      <c r="I2238" s="199" t="s">
        <v>20</v>
      </c>
      <c r="J2238" s="199" t="s">
        <v>415</v>
      </c>
      <c r="K2238" s="201">
        <v>45384</v>
      </c>
      <c r="L2238" s="199" t="s">
        <v>3319</v>
      </c>
      <c r="M2238" s="199" t="s">
        <v>3320</v>
      </c>
    </row>
    <row r="2239" spans="1:13" ht="85.5">
      <c r="A2239" s="199">
        <v>2238</v>
      </c>
      <c r="B2239" s="199" t="s">
        <v>5519</v>
      </c>
      <c r="C2239" s="199" t="s">
        <v>34</v>
      </c>
      <c r="D2239" s="199" t="s">
        <v>35</v>
      </c>
      <c r="E2239" s="199">
        <v>1200</v>
      </c>
      <c r="F2239" s="199" t="s">
        <v>5498</v>
      </c>
      <c r="G2239" s="199" t="s">
        <v>5483</v>
      </c>
      <c r="H2239" s="200">
        <v>2976</v>
      </c>
      <c r="I2239" s="199" t="s">
        <v>20</v>
      </c>
      <c r="J2239" s="199" t="s">
        <v>415</v>
      </c>
      <c r="K2239" s="201">
        <v>45384</v>
      </c>
      <c r="L2239" s="199" t="s">
        <v>3319</v>
      </c>
      <c r="M2239" s="199" t="s">
        <v>3320</v>
      </c>
    </row>
    <row r="2240" spans="1:13" ht="85.5">
      <c r="A2240" s="199">
        <v>2239</v>
      </c>
      <c r="B2240" s="199" t="s">
        <v>5520</v>
      </c>
      <c r="C2240" s="199" t="s">
        <v>34</v>
      </c>
      <c r="D2240" s="199" t="s">
        <v>35</v>
      </c>
      <c r="E2240" s="199">
        <v>1200</v>
      </c>
      <c r="F2240" s="199" t="s">
        <v>5498</v>
      </c>
      <c r="G2240" s="199" t="s">
        <v>5483</v>
      </c>
      <c r="H2240" s="200">
        <v>2976</v>
      </c>
      <c r="I2240" s="199" t="s">
        <v>20</v>
      </c>
      <c r="J2240" s="199" t="s">
        <v>415</v>
      </c>
      <c r="K2240" s="201">
        <v>45384</v>
      </c>
      <c r="L2240" s="199" t="s">
        <v>3319</v>
      </c>
      <c r="M2240" s="199" t="s">
        <v>3320</v>
      </c>
    </row>
    <row r="2241" spans="1:13" ht="85.5">
      <c r="A2241" s="199">
        <v>2240</v>
      </c>
      <c r="B2241" s="199" t="s">
        <v>5521</v>
      </c>
      <c r="C2241" s="199" t="s">
        <v>34</v>
      </c>
      <c r="D2241" s="199" t="s">
        <v>35</v>
      </c>
      <c r="E2241" s="199">
        <v>1200</v>
      </c>
      <c r="F2241" s="199" t="s">
        <v>5496</v>
      </c>
      <c r="G2241" s="199" t="s">
        <v>5483</v>
      </c>
      <c r="H2241" s="200">
        <v>2412</v>
      </c>
      <c r="I2241" s="199" t="s">
        <v>20</v>
      </c>
      <c r="J2241" s="199" t="s">
        <v>415</v>
      </c>
      <c r="K2241" s="201">
        <v>45384</v>
      </c>
      <c r="L2241" s="199" t="s">
        <v>3319</v>
      </c>
      <c r="M2241" s="199" t="s">
        <v>3320</v>
      </c>
    </row>
    <row r="2242" spans="1:13" ht="85.5">
      <c r="A2242" s="199">
        <v>2241</v>
      </c>
      <c r="B2242" s="199" t="s">
        <v>5522</v>
      </c>
      <c r="C2242" s="199" t="s">
        <v>34</v>
      </c>
      <c r="D2242" s="199" t="s">
        <v>35</v>
      </c>
      <c r="E2242" s="199">
        <v>1600</v>
      </c>
      <c r="F2242" s="199" t="s">
        <v>5498</v>
      </c>
      <c r="G2242" s="199" t="s">
        <v>5483</v>
      </c>
      <c r="H2242" s="200">
        <v>12528</v>
      </c>
      <c r="I2242" s="199" t="s">
        <v>20</v>
      </c>
      <c r="J2242" s="199" t="s">
        <v>415</v>
      </c>
      <c r="K2242" s="201">
        <v>45384</v>
      </c>
      <c r="L2242" s="199" t="s">
        <v>3319</v>
      </c>
      <c r="M2242" s="199" t="s">
        <v>3320</v>
      </c>
    </row>
    <row r="2243" spans="1:13" ht="85.5">
      <c r="A2243" s="199">
        <v>2242</v>
      </c>
      <c r="B2243" s="199" t="s">
        <v>5523</v>
      </c>
      <c r="C2243" s="199" t="s">
        <v>34</v>
      </c>
      <c r="D2243" s="199" t="s">
        <v>35</v>
      </c>
      <c r="E2243" s="199">
        <v>600</v>
      </c>
      <c r="F2243" s="199" t="s">
        <v>5496</v>
      </c>
      <c r="G2243" s="199" t="s">
        <v>5483</v>
      </c>
      <c r="H2243" s="200">
        <v>100530</v>
      </c>
      <c r="I2243" s="199" t="s">
        <v>20</v>
      </c>
      <c r="J2243" s="199" t="s">
        <v>415</v>
      </c>
      <c r="K2243" s="201">
        <v>45384</v>
      </c>
      <c r="L2243" s="199" t="s">
        <v>3319</v>
      </c>
      <c r="M2243" s="199" t="s">
        <v>3320</v>
      </c>
    </row>
    <row r="2244" spans="1:13" ht="85.5">
      <c r="A2244" s="199">
        <v>2243</v>
      </c>
      <c r="B2244" s="199" t="s">
        <v>5524</v>
      </c>
      <c r="C2244" s="199" t="s">
        <v>34</v>
      </c>
      <c r="D2244" s="199" t="s">
        <v>35</v>
      </c>
      <c r="E2244" s="199">
        <v>720</v>
      </c>
      <c r="F2244" s="199" t="s">
        <v>5496</v>
      </c>
      <c r="G2244" s="199" t="s">
        <v>5483</v>
      </c>
      <c r="H2244" s="200">
        <v>279964.79999999999</v>
      </c>
      <c r="I2244" s="199" t="s">
        <v>20</v>
      </c>
      <c r="J2244" s="199" t="s">
        <v>415</v>
      </c>
      <c r="K2244" s="201">
        <v>45384</v>
      </c>
      <c r="L2244" s="199" t="s">
        <v>3319</v>
      </c>
      <c r="M2244" s="199" t="s">
        <v>3320</v>
      </c>
    </row>
    <row r="2245" spans="1:13" ht="85.5">
      <c r="A2245" s="199">
        <v>2244</v>
      </c>
      <c r="B2245" s="199" t="s">
        <v>5525</v>
      </c>
      <c r="C2245" s="199" t="s">
        <v>34</v>
      </c>
      <c r="D2245" s="199" t="s">
        <v>35</v>
      </c>
      <c r="E2245" s="199">
        <v>600</v>
      </c>
      <c r="F2245" s="199" t="s">
        <v>5496</v>
      </c>
      <c r="G2245" s="199" t="s">
        <v>5483</v>
      </c>
      <c r="H2245" s="200">
        <v>1554</v>
      </c>
      <c r="I2245" s="199" t="s">
        <v>20</v>
      </c>
      <c r="J2245" s="199" t="s">
        <v>415</v>
      </c>
      <c r="K2245" s="201">
        <v>45384</v>
      </c>
      <c r="L2245" s="199" t="s">
        <v>3319</v>
      </c>
      <c r="M2245" s="199" t="s">
        <v>3320</v>
      </c>
    </row>
    <row r="2246" spans="1:13" ht="85.5">
      <c r="A2246" s="199">
        <v>2245</v>
      </c>
      <c r="B2246" s="199" t="s">
        <v>5526</v>
      </c>
      <c r="C2246" s="199" t="s">
        <v>34</v>
      </c>
      <c r="D2246" s="199" t="s">
        <v>35</v>
      </c>
      <c r="E2246" s="199">
        <v>100</v>
      </c>
      <c r="F2246" s="199" t="s">
        <v>5527</v>
      </c>
      <c r="G2246" s="199" t="s">
        <v>5483</v>
      </c>
      <c r="H2246" s="200">
        <v>8478</v>
      </c>
      <c r="I2246" s="199" t="s">
        <v>20</v>
      </c>
      <c r="J2246" s="199" t="s">
        <v>415</v>
      </c>
      <c r="K2246" s="201">
        <v>45384</v>
      </c>
      <c r="L2246" s="199" t="s">
        <v>3319</v>
      </c>
      <c r="M2246" s="199" t="s">
        <v>3320</v>
      </c>
    </row>
    <row r="2247" spans="1:13" ht="85.5">
      <c r="A2247" s="199">
        <v>2246</v>
      </c>
      <c r="B2247" s="199" t="s">
        <v>5528</v>
      </c>
      <c r="C2247" s="199" t="s">
        <v>34</v>
      </c>
      <c r="D2247" s="199" t="s">
        <v>35</v>
      </c>
      <c r="E2247" s="199">
        <v>200</v>
      </c>
      <c r="F2247" s="199" t="s">
        <v>5527</v>
      </c>
      <c r="G2247" s="199" t="s">
        <v>5483</v>
      </c>
      <c r="H2247" s="200">
        <v>35462</v>
      </c>
      <c r="I2247" s="199" t="s">
        <v>20</v>
      </c>
      <c r="J2247" s="199" t="s">
        <v>415</v>
      </c>
      <c r="K2247" s="201">
        <v>45384</v>
      </c>
      <c r="L2247" s="199" t="s">
        <v>3319</v>
      </c>
      <c r="M2247" s="199" t="s">
        <v>3320</v>
      </c>
    </row>
    <row r="2248" spans="1:13" ht="85.5">
      <c r="A2248" s="199">
        <v>2247</v>
      </c>
      <c r="B2248" s="199" t="s">
        <v>5529</v>
      </c>
      <c r="C2248" s="199" t="s">
        <v>34</v>
      </c>
      <c r="D2248" s="199" t="s">
        <v>35</v>
      </c>
      <c r="E2248" s="199">
        <v>60</v>
      </c>
      <c r="F2248" s="199" t="s">
        <v>2378</v>
      </c>
      <c r="G2248" s="199" t="s">
        <v>5483</v>
      </c>
      <c r="H2248" s="200">
        <v>5917.8</v>
      </c>
      <c r="I2248" s="199" t="s">
        <v>20</v>
      </c>
      <c r="J2248" s="199" t="s">
        <v>415</v>
      </c>
      <c r="K2248" s="201">
        <v>45384</v>
      </c>
      <c r="L2248" s="199" t="s">
        <v>3319</v>
      </c>
      <c r="M2248" s="199" t="s">
        <v>3320</v>
      </c>
    </row>
    <row r="2249" spans="1:13" ht="85.5">
      <c r="A2249" s="199">
        <v>2248</v>
      </c>
      <c r="B2249" s="199" t="s">
        <v>5529</v>
      </c>
      <c r="C2249" s="199" t="s">
        <v>34</v>
      </c>
      <c r="D2249" s="199" t="s">
        <v>35</v>
      </c>
      <c r="E2249" s="199">
        <v>20</v>
      </c>
      <c r="F2249" s="199" t="s">
        <v>2378</v>
      </c>
      <c r="G2249" s="199" t="s">
        <v>5483</v>
      </c>
      <c r="H2249" s="200">
        <v>2133</v>
      </c>
      <c r="I2249" s="199" t="s">
        <v>20</v>
      </c>
      <c r="J2249" s="199" t="s">
        <v>415</v>
      </c>
      <c r="K2249" s="201">
        <v>45384</v>
      </c>
      <c r="L2249" s="199" t="s">
        <v>3319</v>
      </c>
      <c r="M2249" s="199" t="s">
        <v>3320</v>
      </c>
    </row>
    <row r="2250" spans="1:13" ht="142.5">
      <c r="A2250" s="199">
        <v>2249</v>
      </c>
      <c r="B2250" s="199" t="s">
        <v>5530</v>
      </c>
      <c r="C2250" s="199" t="s">
        <v>34</v>
      </c>
      <c r="D2250" s="199" t="s">
        <v>35</v>
      </c>
      <c r="E2250" s="199">
        <v>20</v>
      </c>
      <c r="F2250" s="199" t="s">
        <v>3313</v>
      </c>
      <c r="G2250" s="199" t="s">
        <v>5483</v>
      </c>
      <c r="H2250" s="200">
        <v>2414</v>
      </c>
      <c r="I2250" s="199" t="s">
        <v>20</v>
      </c>
      <c r="J2250" s="199" t="s">
        <v>415</v>
      </c>
      <c r="K2250" s="201">
        <v>45384</v>
      </c>
      <c r="L2250" s="199" t="s">
        <v>3319</v>
      </c>
      <c r="M2250" s="199" t="s">
        <v>3320</v>
      </c>
    </row>
    <row r="2251" spans="1:13" ht="85.5">
      <c r="A2251" s="199">
        <v>2250</v>
      </c>
      <c r="B2251" s="199" t="s">
        <v>5531</v>
      </c>
      <c r="C2251" s="199" t="s">
        <v>34</v>
      </c>
      <c r="D2251" s="199" t="s">
        <v>35</v>
      </c>
      <c r="E2251" s="199">
        <v>2000</v>
      </c>
      <c r="F2251" s="199" t="s">
        <v>5498</v>
      </c>
      <c r="G2251" s="199" t="s">
        <v>5483</v>
      </c>
      <c r="H2251" s="200">
        <v>13800</v>
      </c>
      <c r="I2251" s="199" t="s">
        <v>20</v>
      </c>
      <c r="J2251" s="199" t="s">
        <v>415</v>
      </c>
      <c r="K2251" s="201">
        <v>45384</v>
      </c>
      <c r="L2251" s="199" t="s">
        <v>3319</v>
      </c>
      <c r="M2251" s="199" t="s">
        <v>3320</v>
      </c>
    </row>
    <row r="2252" spans="1:13" ht="171">
      <c r="A2252" s="199">
        <v>2251</v>
      </c>
      <c r="B2252" s="199" t="s">
        <v>5532</v>
      </c>
      <c r="C2252" s="199" t="s">
        <v>34</v>
      </c>
      <c r="D2252" s="199" t="s">
        <v>35</v>
      </c>
      <c r="E2252" s="199">
        <v>6000</v>
      </c>
      <c r="F2252" s="199" t="s">
        <v>5496</v>
      </c>
      <c r="G2252" s="199" t="s">
        <v>5483</v>
      </c>
      <c r="H2252" s="200">
        <v>15840</v>
      </c>
      <c r="I2252" s="199" t="s">
        <v>20</v>
      </c>
      <c r="J2252" s="199" t="s">
        <v>415</v>
      </c>
      <c r="K2252" s="201">
        <v>45384</v>
      </c>
      <c r="L2252" s="199" t="s">
        <v>3319</v>
      </c>
      <c r="M2252" s="199" t="s">
        <v>3320</v>
      </c>
    </row>
    <row r="2253" spans="1:13" ht="85.5">
      <c r="A2253" s="199">
        <v>2252</v>
      </c>
      <c r="B2253" s="199" t="s">
        <v>5533</v>
      </c>
      <c r="C2253" s="199" t="s">
        <v>34</v>
      </c>
      <c r="D2253" s="199" t="s">
        <v>35</v>
      </c>
      <c r="E2253" s="199">
        <v>960</v>
      </c>
      <c r="F2253" s="199" t="s">
        <v>5527</v>
      </c>
      <c r="G2253" s="199" t="s">
        <v>5483</v>
      </c>
      <c r="H2253" s="200">
        <v>3830.4</v>
      </c>
      <c r="I2253" s="199" t="s">
        <v>20</v>
      </c>
      <c r="J2253" s="199" t="s">
        <v>415</v>
      </c>
      <c r="K2253" s="201">
        <v>45384</v>
      </c>
      <c r="L2253" s="199" t="s">
        <v>3319</v>
      </c>
      <c r="M2253" s="199" t="s">
        <v>3320</v>
      </c>
    </row>
    <row r="2254" spans="1:13" ht="85.5">
      <c r="A2254" s="199">
        <v>2253</v>
      </c>
      <c r="B2254" s="199" t="s">
        <v>5534</v>
      </c>
      <c r="C2254" s="199" t="s">
        <v>34</v>
      </c>
      <c r="D2254" s="199" t="s">
        <v>35</v>
      </c>
      <c r="E2254" s="199">
        <v>600</v>
      </c>
      <c r="F2254" s="199" t="s">
        <v>5498</v>
      </c>
      <c r="G2254" s="199" t="s">
        <v>5483</v>
      </c>
      <c r="H2254" s="200">
        <v>294</v>
      </c>
      <c r="I2254" s="199" t="s">
        <v>20</v>
      </c>
      <c r="J2254" s="199" t="s">
        <v>415</v>
      </c>
      <c r="K2254" s="201">
        <v>45384</v>
      </c>
      <c r="L2254" s="199" t="s">
        <v>3319</v>
      </c>
      <c r="M2254" s="199" t="s">
        <v>3320</v>
      </c>
    </row>
    <row r="2255" spans="1:13" ht="85.5">
      <c r="A2255" s="199">
        <v>2254</v>
      </c>
      <c r="B2255" s="199" t="s">
        <v>5535</v>
      </c>
      <c r="C2255" s="199" t="s">
        <v>34</v>
      </c>
      <c r="D2255" s="199" t="s">
        <v>35</v>
      </c>
      <c r="E2255" s="199">
        <v>1600</v>
      </c>
      <c r="F2255" s="199" t="s">
        <v>5498</v>
      </c>
      <c r="G2255" s="199" t="s">
        <v>5483</v>
      </c>
      <c r="H2255" s="200">
        <v>17232</v>
      </c>
      <c r="I2255" s="199" t="s">
        <v>20</v>
      </c>
      <c r="J2255" s="199" t="s">
        <v>415</v>
      </c>
      <c r="K2255" s="201">
        <v>45384</v>
      </c>
      <c r="L2255" s="199" t="s">
        <v>3319</v>
      </c>
      <c r="M2255" s="199" t="s">
        <v>3320</v>
      </c>
    </row>
    <row r="2256" spans="1:13" ht="85.5">
      <c r="A2256" s="199">
        <v>2255</v>
      </c>
      <c r="B2256" s="199" t="s">
        <v>5536</v>
      </c>
      <c r="C2256" s="199" t="s">
        <v>34</v>
      </c>
      <c r="D2256" s="199" t="s">
        <v>35</v>
      </c>
      <c r="E2256" s="199">
        <v>1800</v>
      </c>
      <c r="F2256" s="199" t="s">
        <v>5498</v>
      </c>
      <c r="G2256" s="199" t="s">
        <v>5483</v>
      </c>
      <c r="H2256" s="200">
        <v>5238</v>
      </c>
      <c r="I2256" s="199" t="s">
        <v>20</v>
      </c>
      <c r="J2256" s="199" t="s">
        <v>415</v>
      </c>
      <c r="K2256" s="201">
        <v>45384</v>
      </c>
      <c r="L2256" s="199" t="s">
        <v>3319</v>
      </c>
      <c r="M2256" s="199" t="s">
        <v>3320</v>
      </c>
    </row>
    <row r="2257" spans="1:13" ht="85.5">
      <c r="A2257" s="199">
        <v>2256</v>
      </c>
      <c r="B2257" s="199" t="s">
        <v>5537</v>
      </c>
      <c r="C2257" s="199" t="s">
        <v>34</v>
      </c>
      <c r="D2257" s="199" t="s">
        <v>35</v>
      </c>
      <c r="E2257" s="199">
        <v>1800</v>
      </c>
      <c r="F2257" s="199" t="s">
        <v>5498</v>
      </c>
      <c r="G2257" s="199" t="s">
        <v>5483</v>
      </c>
      <c r="H2257" s="200">
        <v>6084</v>
      </c>
      <c r="I2257" s="199" t="s">
        <v>20</v>
      </c>
      <c r="J2257" s="199" t="s">
        <v>415</v>
      </c>
      <c r="K2257" s="201">
        <v>45384</v>
      </c>
      <c r="L2257" s="199" t="s">
        <v>3319</v>
      </c>
      <c r="M2257" s="199" t="s">
        <v>3320</v>
      </c>
    </row>
    <row r="2258" spans="1:13" ht="85.5">
      <c r="A2258" s="199">
        <v>2257</v>
      </c>
      <c r="B2258" s="199" t="s">
        <v>5538</v>
      </c>
      <c r="C2258" s="199" t="s">
        <v>34</v>
      </c>
      <c r="D2258" s="199" t="s">
        <v>35</v>
      </c>
      <c r="E2258" s="199">
        <v>600</v>
      </c>
      <c r="F2258" s="199" t="s">
        <v>5496</v>
      </c>
      <c r="G2258" s="199" t="s">
        <v>5483</v>
      </c>
      <c r="H2258" s="200">
        <v>5502</v>
      </c>
      <c r="I2258" s="199" t="s">
        <v>20</v>
      </c>
      <c r="J2258" s="199" t="s">
        <v>415</v>
      </c>
      <c r="K2258" s="201">
        <v>45384</v>
      </c>
      <c r="L2258" s="199" t="s">
        <v>3319</v>
      </c>
      <c r="M2258" s="199" t="s">
        <v>3320</v>
      </c>
    </row>
    <row r="2259" spans="1:13" ht="114">
      <c r="A2259" s="199">
        <v>2258</v>
      </c>
      <c r="B2259" s="199" t="s">
        <v>5539</v>
      </c>
      <c r="C2259" s="199" t="s">
        <v>34</v>
      </c>
      <c r="D2259" s="199" t="s">
        <v>35</v>
      </c>
      <c r="E2259" s="199">
        <v>600</v>
      </c>
      <c r="F2259" s="199" t="s">
        <v>5498</v>
      </c>
      <c r="G2259" s="199" t="s">
        <v>5483</v>
      </c>
      <c r="H2259" s="200">
        <v>5580</v>
      </c>
      <c r="I2259" s="199" t="s">
        <v>20</v>
      </c>
      <c r="J2259" s="199" t="s">
        <v>415</v>
      </c>
      <c r="K2259" s="201">
        <v>45384</v>
      </c>
      <c r="L2259" s="199" t="s">
        <v>3319</v>
      </c>
      <c r="M2259" s="199" t="s">
        <v>3320</v>
      </c>
    </row>
    <row r="2260" spans="1:13" ht="85.5">
      <c r="A2260" s="199">
        <v>2259</v>
      </c>
      <c r="B2260" s="199" t="s">
        <v>5540</v>
      </c>
      <c r="C2260" s="199" t="s">
        <v>34</v>
      </c>
      <c r="D2260" s="199" t="s">
        <v>35</v>
      </c>
      <c r="E2260" s="199">
        <v>1200</v>
      </c>
      <c r="F2260" s="199" t="s">
        <v>5498</v>
      </c>
      <c r="G2260" s="199" t="s">
        <v>5483</v>
      </c>
      <c r="H2260" s="200">
        <v>1308</v>
      </c>
      <c r="I2260" s="199" t="s">
        <v>20</v>
      </c>
      <c r="J2260" s="199" t="s">
        <v>415</v>
      </c>
      <c r="K2260" s="201">
        <v>45384</v>
      </c>
      <c r="L2260" s="199" t="s">
        <v>3319</v>
      </c>
      <c r="M2260" s="199" t="s">
        <v>3320</v>
      </c>
    </row>
    <row r="2261" spans="1:13" ht="85.5">
      <c r="A2261" s="199">
        <v>2260</v>
      </c>
      <c r="B2261" s="199" t="s">
        <v>5541</v>
      </c>
      <c r="C2261" s="199" t="s">
        <v>34</v>
      </c>
      <c r="D2261" s="199" t="s">
        <v>35</v>
      </c>
      <c r="E2261" s="199">
        <v>1200</v>
      </c>
      <c r="F2261" s="199" t="s">
        <v>5498</v>
      </c>
      <c r="G2261" s="199" t="s">
        <v>5483</v>
      </c>
      <c r="H2261" s="200">
        <v>1296</v>
      </c>
      <c r="I2261" s="199" t="s">
        <v>20</v>
      </c>
      <c r="J2261" s="199" t="s">
        <v>415</v>
      </c>
      <c r="K2261" s="201">
        <v>45384</v>
      </c>
      <c r="L2261" s="199" t="s">
        <v>3319</v>
      </c>
      <c r="M2261" s="199" t="s">
        <v>3320</v>
      </c>
    </row>
    <row r="2262" spans="1:13" ht="85.5">
      <c r="A2262" s="199">
        <v>2261</v>
      </c>
      <c r="B2262" s="199" t="s">
        <v>5542</v>
      </c>
      <c r="C2262" s="199" t="s">
        <v>34</v>
      </c>
      <c r="D2262" s="199" t="s">
        <v>35</v>
      </c>
      <c r="E2262" s="199">
        <v>1200</v>
      </c>
      <c r="F2262" s="199" t="s">
        <v>5498</v>
      </c>
      <c r="G2262" s="199" t="s">
        <v>5483</v>
      </c>
      <c r="H2262" s="200">
        <v>3336</v>
      </c>
      <c r="I2262" s="199" t="s">
        <v>20</v>
      </c>
      <c r="J2262" s="199" t="s">
        <v>415</v>
      </c>
      <c r="K2262" s="201">
        <v>45384</v>
      </c>
      <c r="L2262" s="199" t="s">
        <v>3319</v>
      </c>
      <c r="M2262" s="199" t="s">
        <v>3320</v>
      </c>
    </row>
    <row r="2263" spans="1:13" ht="85.5">
      <c r="A2263" s="199">
        <v>2262</v>
      </c>
      <c r="B2263" s="199" t="s">
        <v>5543</v>
      </c>
      <c r="C2263" s="199" t="s">
        <v>34</v>
      </c>
      <c r="D2263" s="199" t="s">
        <v>35</v>
      </c>
      <c r="E2263" s="199">
        <v>600</v>
      </c>
      <c r="F2263" s="199" t="s">
        <v>5498</v>
      </c>
      <c r="G2263" s="199" t="s">
        <v>5483</v>
      </c>
      <c r="H2263" s="200">
        <v>1164</v>
      </c>
      <c r="I2263" s="199" t="s">
        <v>20</v>
      </c>
      <c r="J2263" s="199" t="s">
        <v>415</v>
      </c>
      <c r="K2263" s="201">
        <v>45384</v>
      </c>
      <c r="L2263" s="199" t="s">
        <v>3319</v>
      </c>
      <c r="M2263" s="199" t="s">
        <v>3320</v>
      </c>
    </row>
    <row r="2264" spans="1:13" ht="85.5">
      <c r="A2264" s="199">
        <v>2263</v>
      </c>
      <c r="B2264" s="199" t="s">
        <v>5544</v>
      </c>
      <c r="C2264" s="199" t="s">
        <v>34</v>
      </c>
      <c r="D2264" s="199" t="s">
        <v>35</v>
      </c>
      <c r="E2264" s="199">
        <v>4800</v>
      </c>
      <c r="F2264" s="199" t="s">
        <v>5498</v>
      </c>
      <c r="G2264" s="199" t="s">
        <v>5483</v>
      </c>
      <c r="H2264" s="200">
        <v>10800</v>
      </c>
      <c r="I2264" s="199" t="s">
        <v>20</v>
      </c>
      <c r="J2264" s="199" t="s">
        <v>415</v>
      </c>
      <c r="K2264" s="201">
        <v>45384</v>
      </c>
      <c r="L2264" s="199" t="s">
        <v>3319</v>
      </c>
      <c r="M2264" s="199" t="s">
        <v>3320</v>
      </c>
    </row>
    <row r="2265" spans="1:13" ht="85.5">
      <c r="A2265" s="199">
        <v>2264</v>
      </c>
      <c r="B2265" s="199" t="s">
        <v>5545</v>
      </c>
      <c r="C2265" s="199" t="s">
        <v>34</v>
      </c>
      <c r="D2265" s="199" t="s">
        <v>35</v>
      </c>
      <c r="E2265" s="199">
        <v>720</v>
      </c>
      <c r="F2265" s="199" t="s">
        <v>5498</v>
      </c>
      <c r="G2265" s="199" t="s">
        <v>5483</v>
      </c>
      <c r="H2265" s="200">
        <v>1080</v>
      </c>
      <c r="I2265" s="199" t="s">
        <v>20</v>
      </c>
      <c r="J2265" s="199" t="s">
        <v>415</v>
      </c>
      <c r="K2265" s="201">
        <v>45384</v>
      </c>
      <c r="L2265" s="199" t="s">
        <v>3319</v>
      </c>
      <c r="M2265" s="199" t="s">
        <v>3320</v>
      </c>
    </row>
    <row r="2266" spans="1:13" ht="85.5">
      <c r="A2266" s="199">
        <v>2265</v>
      </c>
      <c r="B2266" s="199" t="s">
        <v>5546</v>
      </c>
      <c r="C2266" s="199" t="s">
        <v>34</v>
      </c>
      <c r="D2266" s="199" t="s">
        <v>35</v>
      </c>
      <c r="E2266" s="199">
        <v>1600</v>
      </c>
      <c r="F2266" s="199" t="s">
        <v>5498</v>
      </c>
      <c r="G2266" s="199" t="s">
        <v>5483</v>
      </c>
      <c r="H2266" s="200">
        <v>4224</v>
      </c>
      <c r="I2266" s="199" t="s">
        <v>20</v>
      </c>
      <c r="J2266" s="199" t="s">
        <v>415</v>
      </c>
      <c r="K2266" s="201">
        <v>45384</v>
      </c>
      <c r="L2266" s="199" t="s">
        <v>3319</v>
      </c>
      <c r="M2266" s="199" t="s">
        <v>3320</v>
      </c>
    </row>
    <row r="2267" spans="1:13" ht="85.5">
      <c r="A2267" s="199">
        <v>2266</v>
      </c>
      <c r="B2267" s="199" t="s">
        <v>5547</v>
      </c>
      <c r="C2267" s="199" t="s">
        <v>34</v>
      </c>
      <c r="D2267" s="199" t="s">
        <v>35</v>
      </c>
      <c r="E2267" s="199">
        <v>1600</v>
      </c>
      <c r="F2267" s="199" t="s">
        <v>5498</v>
      </c>
      <c r="G2267" s="199" t="s">
        <v>5483</v>
      </c>
      <c r="H2267" s="200">
        <v>4368</v>
      </c>
      <c r="I2267" s="199" t="s">
        <v>20</v>
      </c>
      <c r="J2267" s="199" t="s">
        <v>415</v>
      </c>
      <c r="K2267" s="201">
        <v>45384</v>
      </c>
      <c r="L2267" s="199" t="s">
        <v>3319</v>
      </c>
      <c r="M2267" s="199" t="s">
        <v>3320</v>
      </c>
    </row>
    <row r="2268" spans="1:13" ht="85.5">
      <c r="A2268" s="199">
        <v>2267</v>
      </c>
      <c r="B2268" s="199" t="s">
        <v>5548</v>
      </c>
      <c r="C2268" s="199" t="s">
        <v>34</v>
      </c>
      <c r="D2268" s="199" t="s">
        <v>35</v>
      </c>
      <c r="E2268" s="199">
        <v>1600</v>
      </c>
      <c r="F2268" s="199" t="s">
        <v>5498</v>
      </c>
      <c r="G2268" s="199" t="s">
        <v>5483</v>
      </c>
      <c r="H2268" s="200">
        <v>4048</v>
      </c>
      <c r="I2268" s="199" t="s">
        <v>20</v>
      </c>
      <c r="J2268" s="199" t="s">
        <v>415</v>
      </c>
      <c r="K2268" s="201">
        <v>45384</v>
      </c>
      <c r="L2268" s="199" t="s">
        <v>3319</v>
      </c>
      <c r="M2268" s="199" t="s">
        <v>3320</v>
      </c>
    </row>
    <row r="2269" spans="1:13" ht="85.5">
      <c r="A2269" s="199">
        <v>2268</v>
      </c>
      <c r="B2269" s="199" t="s">
        <v>5549</v>
      </c>
      <c r="C2269" s="199" t="s">
        <v>34</v>
      </c>
      <c r="D2269" s="199" t="s">
        <v>35</v>
      </c>
      <c r="E2269" s="199">
        <v>1600</v>
      </c>
      <c r="F2269" s="199" t="s">
        <v>5498</v>
      </c>
      <c r="G2269" s="199" t="s">
        <v>5483</v>
      </c>
      <c r="H2269" s="200">
        <v>3584</v>
      </c>
      <c r="I2269" s="199" t="s">
        <v>20</v>
      </c>
      <c r="J2269" s="199" t="s">
        <v>415</v>
      </c>
      <c r="K2269" s="201">
        <v>45384</v>
      </c>
      <c r="L2269" s="199" t="s">
        <v>3319</v>
      </c>
      <c r="M2269" s="199" t="s">
        <v>3320</v>
      </c>
    </row>
    <row r="2270" spans="1:13" ht="85.5">
      <c r="A2270" s="199">
        <v>2269</v>
      </c>
      <c r="B2270" s="199" t="s">
        <v>5550</v>
      </c>
      <c r="C2270" s="199" t="s">
        <v>34</v>
      </c>
      <c r="D2270" s="199" t="s">
        <v>35</v>
      </c>
      <c r="E2270" s="199">
        <v>1600</v>
      </c>
      <c r="F2270" s="199" t="s">
        <v>5498</v>
      </c>
      <c r="G2270" s="199" t="s">
        <v>5483</v>
      </c>
      <c r="H2270" s="200">
        <v>7872</v>
      </c>
      <c r="I2270" s="199" t="s">
        <v>20</v>
      </c>
      <c r="J2270" s="199" t="s">
        <v>415</v>
      </c>
      <c r="K2270" s="201">
        <v>45384</v>
      </c>
      <c r="L2270" s="199" t="s">
        <v>3319</v>
      </c>
      <c r="M2270" s="199" t="s">
        <v>3320</v>
      </c>
    </row>
    <row r="2271" spans="1:13" ht="99.75">
      <c r="A2271" s="199">
        <v>2270</v>
      </c>
      <c r="B2271" s="199" t="s">
        <v>5551</v>
      </c>
      <c r="C2271" s="199" t="s">
        <v>34</v>
      </c>
      <c r="D2271" s="199" t="s">
        <v>35</v>
      </c>
      <c r="E2271" s="199">
        <v>880</v>
      </c>
      <c r="F2271" s="199" t="s">
        <v>3313</v>
      </c>
      <c r="G2271" s="199" t="s">
        <v>5483</v>
      </c>
      <c r="H2271" s="200">
        <v>84990.399999999994</v>
      </c>
      <c r="I2271" s="199" t="s">
        <v>20</v>
      </c>
      <c r="J2271" s="199" t="s">
        <v>415</v>
      </c>
      <c r="K2271" s="201">
        <v>45384</v>
      </c>
      <c r="L2271" s="199" t="s">
        <v>3319</v>
      </c>
      <c r="M2271" s="199" t="s">
        <v>3320</v>
      </c>
    </row>
    <row r="2272" spans="1:13" ht="114">
      <c r="A2272" s="199">
        <v>2271</v>
      </c>
      <c r="B2272" s="199" t="s">
        <v>5552</v>
      </c>
      <c r="C2272" s="199" t="s">
        <v>34</v>
      </c>
      <c r="D2272" s="199" t="s">
        <v>35</v>
      </c>
      <c r="E2272" s="199">
        <v>880</v>
      </c>
      <c r="F2272" s="199" t="s">
        <v>3313</v>
      </c>
      <c r="G2272" s="199" t="s">
        <v>5483</v>
      </c>
      <c r="H2272" s="200">
        <v>179338.2</v>
      </c>
      <c r="I2272" s="199" t="s">
        <v>20</v>
      </c>
      <c r="J2272" s="199" t="s">
        <v>415</v>
      </c>
      <c r="K2272" s="201">
        <v>45384</v>
      </c>
      <c r="L2272" s="199" t="s">
        <v>3319</v>
      </c>
      <c r="M2272" s="199" t="s">
        <v>3320</v>
      </c>
    </row>
    <row r="2273" spans="1:13" ht="85.5">
      <c r="A2273" s="199">
        <v>2272</v>
      </c>
      <c r="B2273" s="199" t="s">
        <v>5553</v>
      </c>
      <c r="C2273" s="199" t="s">
        <v>34</v>
      </c>
      <c r="D2273" s="199" t="s">
        <v>35</v>
      </c>
      <c r="E2273" s="199">
        <v>1200</v>
      </c>
      <c r="F2273" s="199" t="s">
        <v>5498</v>
      </c>
      <c r="G2273" s="199" t="s">
        <v>5483</v>
      </c>
      <c r="H2273" s="200">
        <v>123564</v>
      </c>
      <c r="I2273" s="199" t="s">
        <v>20</v>
      </c>
      <c r="J2273" s="199" t="s">
        <v>415</v>
      </c>
      <c r="K2273" s="201">
        <v>45384</v>
      </c>
      <c r="L2273" s="199" t="s">
        <v>3319</v>
      </c>
      <c r="M2273" s="199" t="s">
        <v>3320</v>
      </c>
    </row>
    <row r="2274" spans="1:13" ht="85.5">
      <c r="A2274" s="199">
        <v>2273</v>
      </c>
      <c r="B2274" s="199" t="s">
        <v>5554</v>
      </c>
      <c r="C2274" s="199" t="s">
        <v>34</v>
      </c>
      <c r="D2274" s="199" t="s">
        <v>35</v>
      </c>
      <c r="E2274" s="199">
        <v>720</v>
      </c>
      <c r="F2274" s="199" t="s">
        <v>5498</v>
      </c>
      <c r="G2274" s="199" t="s">
        <v>5483</v>
      </c>
      <c r="H2274" s="200">
        <v>741</v>
      </c>
      <c r="I2274" s="199" t="s">
        <v>20</v>
      </c>
      <c r="J2274" s="199" t="s">
        <v>415</v>
      </c>
      <c r="K2274" s="201">
        <v>45384</v>
      </c>
      <c r="L2274" s="199" t="s">
        <v>3319</v>
      </c>
      <c r="M2274" s="199" t="s">
        <v>3320</v>
      </c>
    </row>
    <row r="2275" spans="1:13" ht="85.5">
      <c r="A2275" s="199">
        <v>2274</v>
      </c>
      <c r="B2275" s="199" t="s">
        <v>5555</v>
      </c>
      <c r="C2275" s="199" t="s">
        <v>34</v>
      </c>
      <c r="D2275" s="199" t="s">
        <v>35</v>
      </c>
      <c r="E2275" s="199">
        <v>12</v>
      </c>
      <c r="F2275" s="199" t="s">
        <v>5556</v>
      </c>
      <c r="G2275" s="199" t="s">
        <v>5483</v>
      </c>
      <c r="H2275" s="200">
        <v>6175.68</v>
      </c>
      <c r="I2275" s="199" t="s">
        <v>20</v>
      </c>
      <c r="J2275" s="199" t="s">
        <v>415</v>
      </c>
      <c r="K2275" s="201">
        <v>45384</v>
      </c>
      <c r="L2275" s="199" t="s">
        <v>3319</v>
      </c>
      <c r="M2275" s="199" t="s">
        <v>3320</v>
      </c>
    </row>
    <row r="2276" spans="1:13" ht="85.5">
      <c r="A2276" s="199">
        <v>2275</v>
      </c>
      <c r="B2276" s="199" t="s">
        <v>5557</v>
      </c>
      <c r="C2276" s="199" t="s">
        <v>34</v>
      </c>
      <c r="D2276" s="199" t="s">
        <v>35</v>
      </c>
      <c r="E2276" s="199">
        <v>1600</v>
      </c>
      <c r="F2276" s="199" t="s">
        <v>5498</v>
      </c>
      <c r="G2276" s="199" t="s">
        <v>5483</v>
      </c>
      <c r="H2276" s="200">
        <v>1696</v>
      </c>
      <c r="I2276" s="199" t="s">
        <v>20</v>
      </c>
      <c r="J2276" s="199" t="s">
        <v>415</v>
      </c>
      <c r="K2276" s="201">
        <v>45384</v>
      </c>
      <c r="L2276" s="199" t="s">
        <v>3319</v>
      </c>
      <c r="M2276" s="199" t="s">
        <v>3320</v>
      </c>
    </row>
    <row r="2277" spans="1:13" ht="85.5">
      <c r="A2277" s="199">
        <v>2276</v>
      </c>
      <c r="B2277" s="199" t="s">
        <v>5558</v>
      </c>
      <c r="C2277" s="199" t="s">
        <v>34</v>
      </c>
      <c r="D2277" s="199" t="s">
        <v>35</v>
      </c>
      <c r="E2277" s="199">
        <v>1600</v>
      </c>
      <c r="F2277" s="199" t="s">
        <v>5498</v>
      </c>
      <c r="G2277" s="199" t="s">
        <v>5483</v>
      </c>
      <c r="H2277" s="200">
        <v>5344</v>
      </c>
      <c r="I2277" s="199" t="s">
        <v>20</v>
      </c>
      <c r="J2277" s="199" t="s">
        <v>415</v>
      </c>
      <c r="K2277" s="201">
        <v>45384</v>
      </c>
      <c r="L2277" s="199" t="s">
        <v>3319</v>
      </c>
      <c r="M2277" s="199" t="s">
        <v>3320</v>
      </c>
    </row>
    <row r="2278" spans="1:13" ht="156.75">
      <c r="A2278" s="199">
        <v>2277</v>
      </c>
      <c r="B2278" s="199" t="s">
        <v>5559</v>
      </c>
      <c r="C2278" s="199" t="s">
        <v>34</v>
      </c>
      <c r="D2278" s="199" t="s">
        <v>35</v>
      </c>
      <c r="E2278" s="199">
        <v>1600</v>
      </c>
      <c r="F2278" s="199" t="s">
        <v>2378</v>
      </c>
      <c r="G2278" s="199" t="s">
        <v>5483</v>
      </c>
      <c r="H2278" s="200">
        <v>44048</v>
      </c>
      <c r="I2278" s="199" t="s">
        <v>20</v>
      </c>
      <c r="J2278" s="199" t="s">
        <v>415</v>
      </c>
      <c r="K2278" s="201">
        <v>45384</v>
      </c>
      <c r="L2278" s="199" t="s">
        <v>3319</v>
      </c>
      <c r="M2278" s="199" t="s">
        <v>3320</v>
      </c>
    </row>
    <row r="2279" spans="1:13" ht="185.25">
      <c r="A2279" s="199">
        <v>2278</v>
      </c>
      <c r="B2279" s="199" t="s">
        <v>5560</v>
      </c>
      <c r="C2279" s="199" t="s">
        <v>34</v>
      </c>
      <c r="D2279" s="199" t="s">
        <v>35</v>
      </c>
      <c r="E2279" s="199">
        <v>120</v>
      </c>
      <c r="F2279" s="199" t="s">
        <v>2076</v>
      </c>
      <c r="G2279" s="199" t="s">
        <v>5483</v>
      </c>
      <c r="H2279" s="200">
        <v>77031.600000000006</v>
      </c>
      <c r="I2279" s="199" t="s">
        <v>20</v>
      </c>
      <c r="J2279" s="199" t="s">
        <v>415</v>
      </c>
      <c r="K2279" s="201">
        <v>45384</v>
      </c>
      <c r="L2279" s="199" t="s">
        <v>3319</v>
      </c>
      <c r="M2279" s="199" t="s">
        <v>3320</v>
      </c>
    </row>
    <row r="2280" spans="1:13" ht="213.75">
      <c r="A2280" s="199">
        <v>2279</v>
      </c>
      <c r="B2280" s="199" t="s">
        <v>5561</v>
      </c>
      <c r="C2280" s="199" t="s">
        <v>34</v>
      </c>
      <c r="D2280" s="199" t="s">
        <v>35</v>
      </c>
      <c r="E2280" s="199">
        <v>400</v>
      </c>
      <c r="F2280" s="199" t="s">
        <v>2076</v>
      </c>
      <c r="G2280" s="199" t="s">
        <v>5483</v>
      </c>
      <c r="H2280" s="200">
        <v>111184</v>
      </c>
      <c r="I2280" s="199" t="s">
        <v>20</v>
      </c>
      <c r="J2280" s="199" t="s">
        <v>415</v>
      </c>
      <c r="K2280" s="201">
        <v>45384</v>
      </c>
      <c r="L2280" s="199" t="s">
        <v>3319</v>
      </c>
      <c r="M2280" s="199" t="s">
        <v>3320</v>
      </c>
    </row>
    <row r="2281" spans="1:13" ht="85.5">
      <c r="A2281" s="199">
        <v>2280</v>
      </c>
      <c r="B2281" s="199" t="s">
        <v>5562</v>
      </c>
      <c r="C2281" s="199" t="s">
        <v>34</v>
      </c>
      <c r="D2281" s="199" t="s">
        <v>35</v>
      </c>
      <c r="E2281" s="199">
        <v>1400</v>
      </c>
      <c r="F2281" s="199" t="s">
        <v>5563</v>
      </c>
      <c r="G2281" s="199" t="s">
        <v>5483</v>
      </c>
      <c r="H2281" s="200">
        <v>13020</v>
      </c>
      <c r="I2281" s="199" t="s">
        <v>20</v>
      </c>
      <c r="J2281" s="199" t="s">
        <v>415</v>
      </c>
      <c r="K2281" s="201">
        <v>45384</v>
      </c>
      <c r="L2281" s="199" t="s">
        <v>3319</v>
      </c>
      <c r="M2281" s="199" t="s">
        <v>3320</v>
      </c>
    </row>
    <row r="2282" spans="1:13" ht="128.25">
      <c r="A2282" s="199">
        <v>2281</v>
      </c>
      <c r="B2282" s="199" t="s">
        <v>5564</v>
      </c>
      <c r="C2282" s="199" t="s">
        <v>34</v>
      </c>
      <c r="D2282" s="199" t="s">
        <v>35</v>
      </c>
      <c r="E2282" s="199">
        <v>1200</v>
      </c>
      <c r="F2282" s="199" t="s">
        <v>5498</v>
      </c>
      <c r="G2282" s="199" t="s">
        <v>5483</v>
      </c>
      <c r="H2282" s="200">
        <v>504</v>
      </c>
      <c r="I2282" s="199" t="s">
        <v>20</v>
      </c>
      <c r="J2282" s="199" t="s">
        <v>415</v>
      </c>
      <c r="K2282" s="201">
        <v>45384</v>
      </c>
      <c r="L2282" s="199" t="s">
        <v>3319</v>
      </c>
      <c r="M2282" s="199" t="s">
        <v>3320</v>
      </c>
    </row>
    <row r="2283" spans="1:13" ht="85.5">
      <c r="A2283" s="199">
        <v>2282</v>
      </c>
      <c r="B2283" s="199" t="s">
        <v>5565</v>
      </c>
      <c r="C2283" s="199" t="s">
        <v>34</v>
      </c>
      <c r="D2283" s="199" t="s">
        <v>35</v>
      </c>
      <c r="E2283" s="199">
        <v>2800</v>
      </c>
      <c r="F2283" s="199" t="s">
        <v>5498</v>
      </c>
      <c r="G2283" s="199" t="s">
        <v>5483</v>
      </c>
      <c r="H2283" s="200">
        <v>42280</v>
      </c>
      <c r="I2283" s="199" t="s">
        <v>20</v>
      </c>
      <c r="J2283" s="199" t="s">
        <v>415</v>
      </c>
      <c r="K2283" s="201">
        <v>45384</v>
      </c>
      <c r="L2283" s="199" t="s">
        <v>3319</v>
      </c>
      <c r="M2283" s="199" t="s">
        <v>3320</v>
      </c>
    </row>
    <row r="2284" spans="1:13" ht="99.75">
      <c r="A2284" s="199">
        <v>2283</v>
      </c>
      <c r="B2284" s="199" t="s">
        <v>5566</v>
      </c>
      <c r="C2284" s="199" t="s">
        <v>34</v>
      </c>
      <c r="D2284" s="199" t="s">
        <v>35</v>
      </c>
      <c r="E2284" s="199">
        <v>1600</v>
      </c>
      <c r="F2284" s="199" t="s">
        <v>5498</v>
      </c>
      <c r="G2284" s="199" t="s">
        <v>5483</v>
      </c>
      <c r="H2284" s="200">
        <v>880</v>
      </c>
      <c r="I2284" s="199" t="s">
        <v>20</v>
      </c>
      <c r="J2284" s="199" t="s">
        <v>415</v>
      </c>
      <c r="K2284" s="201">
        <v>45384</v>
      </c>
      <c r="L2284" s="199" t="s">
        <v>3319</v>
      </c>
      <c r="M2284" s="199" t="s">
        <v>3320</v>
      </c>
    </row>
    <row r="2285" spans="1:13" ht="85.5">
      <c r="A2285" s="199">
        <v>2284</v>
      </c>
      <c r="B2285" s="199" t="s">
        <v>5567</v>
      </c>
      <c r="C2285" s="199" t="s">
        <v>34</v>
      </c>
      <c r="D2285" s="199" t="s">
        <v>35</v>
      </c>
      <c r="E2285" s="199">
        <v>30</v>
      </c>
      <c r="F2285" s="199" t="s">
        <v>2378</v>
      </c>
      <c r="G2285" s="199" t="s">
        <v>5483</v>
      </c>
      <c r="H2285" s="200">
        <v>367.5</v>
      </c>
      <c r="I2285" s="199" t="s">
        <v>20</v>
      </c>
      <c r="J2285" s="199" t="s">
        <v>415</v>
      </c>
      <c r="K2285" s="201">
        <v>45384</v>
      </c>
      <c r="L2285" s="199" t="s">
        <v>3319</v>
      </c>
      <c r="M2285" s="199" t="s">
        <v>3320</v>
      </c>
    </row>
    <row r="2286" spans="1:13" ht="85.5">
      <c r="A2286" s="199">
        <v>2285</v>
      </c>
      <c r="B2286" s="199" t="s">
        <v>5568</v>
      </c>
      <c r="C2286" s="199" t="s">
        <v>34</v>
      </c>
      <c r="D2286" s="199" t="s">
        <v>35</v>
      </c>
      <c r="E2286" s="199">
        <v>1200</v>
      </c>
      <c r="F2286" s="199" t="s">
        <v>5498</v>
      </c>
      <c r="G2286" s="199" t="s">
        <v>5483</v>
      </c>
      <c r="H2286" s="200">
        <v>672</v>
      </c>
      <c r="I2286" s="199" t="s">
        <v>20</v>
      </c>
      <c r="J2286" s="199" t="s">
        <v>415</v>
      </c>
      <c r="K2286" s="201">
        <v>45384</v>
      </c>
      <c r="L2286" s="199" t="s">
        <v>3319</v>
      </c>
      <c r="M2286" s="199" t="s">
        <v>3320</v>
      </c>
    </row>
    <row r="2287" spans="1:13" ht="85.5">
      <c r="A2287" s="199">
        <v>2286</v>
      </c>
      <c r="B2287" s="199" t="s">
        <v>5569</v>
      </c>
      <c r="C2287" s="199" t="s">
        <v>34</v>
      </c>
      <c r="D2287" s="199" t="s">
        <v>35</v>
      </c>
      <c r="E2287" s="199">
        <v>1200</v>
      </c>
      <c r="F2287" s="199" t="s">
        <v>5498</v>
      </c>
      <c r="G2287" s="199" t="s">
        <v>5483</v>
      </c>
      <c r="H2287" s="200">
        <v>1476</v>
      </c>
      <c r="I2287" s="199" t="s">
        <v>20</v>
      </c>
      <c r="J2287" s="199" t="s">
        <v>415</v>
      </c>
      <c r="K2287" s="201">
        <v>45384</v>
      </c>
      <c r="L2287" s="199" t="s">
        <v>3319</v>
      </c>
      <c r="M2287" s="199" t="s">
        <v>3320</v>
      </c>
    </row>
    <row r="2288" spans="1:13" ht="85.5">
      <c r="A2288" s="199">
        <v>2287</v>
      </c>
      <c r="B2288" s="199" t="s">
        <v>5570</v>
      </c>
      <c r="C2288" s="199" t="s">
        <v>34</v>
      </c>
      <c r="D2288" s="199" t="s">
        <v>35</v>
      </c>
      <c r="E2288" s="199">
        <v>1200</v>
      </c>
      <c r="F2288" s="199" t="s">
        <v>5498</v>
      </c>
      <c r="G2288" s="199" t="s">
        <v>5483</v>
      </c>
      <c r="H2288" s="200">
        <v>2940</v>
      </c>
      <c r="I2288" s="199" t="s">
        <v>20</v>
      </c>
      <c r="J2288" s="199" t="s">
        <v>415</v>
      </c>
      <c r="K2288" s="201">
        <v>45384</v>
      </c>
      <c r="L2288" s="199" t="s">
        <v>3319</v>
      </c>
      <c r="M2288" s="199" t="s">
        <v>3320</v>
      </c>
    </row>
    <row r="2289" spans="1:13" ht="99.75">
      <c r="A2289" s="199">
        <v>2288</v>
      </c>
      <c r="B2289" s="199" t="s">
        <v>5571</v>
      </c>
      <c r="C2289" s="199" t="s">
        <v>34</v>
      </c>
      <c r="D2289" s="199" t="s">
        <v>35</v>
      </c>
      <c r="E2289" s="199">
        <v>1200</v>
      </c>
      <c r="F2289" s="199" t="s">
        <v>5498</v>
      </c>
      <c r="G2289" s="199" t="s">
        <v>5483</v>
      </c>
      <c r="H2289" s="200">
        <v>2820</v>
      </c>
      <c r="I2289" s="199" t="s">
        <v>20</v>
      </c>
      <c r="J2289" s="199" t="s">
        <v>415</v>
      </c>
      <c r="K2289" s="201">
        <v>45384</v>
      </c>
      <c r="L2289" s="199" t="s">
        <v>3319</v>
      </c>
      <c r="M2289" s="199" t="s">
        <v>3320</v>
      </c>
    </row>
    <row r="2290" spans="1:13" ht="85.5">
      <c r="A2290" s="199">
        <v>2289</v>
      </c>
      <c r="B2290" s="199" t="s">
        <v>5572</v>
      </c>
      <c r="C2290" s="199" t="s">
        <v>34</v>
      </c>
      <c r="D2290" s="199" t="s">
        <v>35</v>
      </c>
      <c r="E2290" s="199">
        <v>20</v>
      </c>
      <c r="F2290" s="199" t="s">
        <v>2378</v>
      </c>
      <c r="G2290" s="199" t="s">
        <v>5483</v>
      </c>
      <c r="H2290" s="200">
        <v>2135.6</v>
      </c>
      <c r="I2290" s="199" t="s">
        <v>20</v>
      </c>
      <c r="J2290" s="199" t="s">
        <v>415</v>
      </c>
      <c r="K2290" s="201">
        <v>45384</v>
      </c>
      <c r="L2290" s="199" t="s">
        <v>3319</v>
      </c>
      <c r="M2290" s="199" t="s">
        <v>3320</v>
      </c>
    </row>
    <row r="2291" spans="1:13" ht="85.5">
      <c r="A2291" s="199">
        <v>2290</v>
      </c>
      <c r="B2291" s="199" t="s">
        <v>5573</v>
      </c>
      <c r="C2291" s="199" t="s">
        <v>34</v>
      </c>
      <c r="D2291" s="199" t="s">
        <v>35</v>
      </c>
      <c r="E2291" s="199">
        <v>500</v>
      </c>
      <c r="F2291" s="199" t="s">
        <v>5498</v>
      </c>
      <c r="G2291" s="199" t="s">
        <v>5483</v>
      </c>
      <c r="H2291" s="200">
        <v>1710</v>
      </c>
      <c r="I2291" s="199" t="s">
        <v>20</v>
      </c>
      <c r="J2291" s="199" t="s">
        <v>415</v>
      </c>
      <c r="K2291" s="201">
        <v>45384</v>
      </c>
      <c r="L2291" s="199" t="s">
        <v>3319</v>
      </c>
      <c r="M2291" s="199" t="s">
        <v>3320</v>
      </c>
    </row>
    <row r="2292" spans="1:13" ht="85.5">
      <c r="A2292" s="199">
        <v>2291</v>
      </c>
      <c r="B2292" s="199" t="s">
        <v>5574</v>
      </c>
      <c r="C2292" s="199" t="s">
        <v>34</v>
      </c>
      <c r="D2292" s="199" t="s">
        <v>35</v>
      </c>
      <c r="E2292" s="199">
        <v>500</v>
      </c>
      <c r="F2292" s="199" t="s">
        <v>5498</v>
      </c>
      <c r="G2292" s="199" t="s">
        <v>5483</v>
      </c>
      <c r="H2292" s="200">
        <v>965</v>
      </c>
      <c r="I2292" s="199" t="s">
        <v>20</v>
      </c>
      <c r="J2292" s="199" t="s">
        <v>415</v>
      </c>
      <c r="K2292" s="201">
        <v>45384</v>
      </c>
      <c r="L2292" s="199" t="s">
        <v>3319</v>
      </c>
      <c r="M2292" s="199" t="s">
        <v>3320</v>
      </c>
    </row>
    <row r="2293" spans="1:13" ht="85.5">
      <c r="A2293" s="199">
        <v>2292</v>
      </c>
      <c r="B2293" s="199" t="s">
        <v>5575</v>
      </c>
      <c r="C2293" s="199" t="s">
        <v>34</v>
      </c>
      <c r="D2293" s="199" t="s">
        <v>35</v>
      </c>
      <c r="E2293" s="199">
        <v>720</v>
      </c>
      <c r="F2293" s="199" t="s">
        <v>2378</v>
      </c>
      <c r="G2293" s="199" t="s">
        <v>5483</v>
      </c>
      <c r="H2293" s="200">
        <v>30693.599999999999</v>
      </c>
      <c r="I2293" s="199" t="s">
        <v>20</v>
      </c>
      <c r="J2293" s="199" t="s">
        <v>415</v>
      </c>
      <c r="K2293" s="201">
        <v>45384</v>
      </c>
      <c r="L2293" s="199" t="s">
        <v>3319</v>
      </c>
      <c r="M2293" s="199" t="s">
        <v>3320</v>
      </c>
    </row>
    <row r="2294" spans="1:13" ht="85.5">
      <c r="A2294" s="199">
        <v>2293</v>
      </c>
      <c r="B2294" s="199" t="s">
        <v>5576</v>
      </c>
      <c r="C2294" s="199" t="s">
        <v>34</v>
      </c>
      <c r="D2294" s="199" t="s">
        <v>35</v>
      </c>
      <c r="E2294" s="199">
        <v>32</v>
      </c>
      <c r="F2294" s="199" t="s">
        <v>2378</v>
      </c>
      <c r="G2294" s="199" t="s">
        <v>5483</v>
      </c>
      <c r="H2294" s="200">
        <v>379.84</v>
      </c>
      <c r="I2294" s="199" t="s">
        <v>20</v>
      </c>
      <c r="J2294" s="199" t="s">
        <v>415</v>
      </c>
      <c r="K2294" s="201">
        <v>45384</v>
      </c>
      <c r="L2294" s="199" t="s">
        <v>3319</v>
      </c>
      <c r="M2294" s="199" t="s">
        <v>3320</v>
      </c>
    </row>
    <row r="2295" spans="1:13" ht="114">
      <c r="A2295" s="199">
        <v>2294</v>
      </c>
      <c r="B2295" s="199" t="s">
        <v>5577</v>
      </c>
      <c r="C2295" s="199" t="s">
        <v>25</v>
      </c>
      <c r="D2295" s="199" t="s">
        <v>17</v>
      </c>
      <c r="E2295" s="199">
        <v>600</v>
      </c>
      <c r="F2295" s="199" t="s">
        <v>5578</v>
      </c>
      <c r="G2295" s="199" t="s">
        <v>5579</v>
      </c>
      <c r="H2295" s="200">
        <v>15000</v>
      </c>
      <c r="I2295" s="199" t="s">
        <v>38</v>
      </c>
      <c r="J2295" s="199" t="s">
        <v>415</v>
      </c>
      <c r="K2295" s="201">
        <v>45061</v>
      </c>
      <c r="L2295" s="199" t="s">
        <v>3694</v>
      </c>
      <c r="M2295" s="199" t="s">
        <v>3320</v>
      </c>
    </row>
    <row r="2296" spans="1:13" ht="156.75">
      <c r="A2296" s="199">
        <v>2295</v>
      </c>
      <c r="B2296" s="199" t="s">
        <v>5580</v>
      </c>
      <c r="C2296" s="199" t="s">
        <v>25</v>
      </c>
      <c r="D2296" s="199" t="s">
        <v>17</v>
      </c>
      <c r="E2296" s="199">
        <v>15000</v>
      </c>
      <c r="F2296" s="199" t="s">
        <v>255</v>
      </c>
      <c r="G2296" s="199" t="s">
        <v>5581</v>
      </c>
      <c r="H2296" s="200">
        <v>75600</v>
      </c>
      <c r="I2296" s="199" t="s">
        <v>20</v>
      </c>
      <c r="J2296" s="199" t="s">
        <v>415</v>
      </c>
      <c r="K2296" s="199"/>
      <c r="L2296" s="199" t="s">
        <v>3694</v>
      </c>
      <c r="M2296" s="199" t="s">
        <v>3320</v>
      </c>
    </row>
    <row r="2297" spans="1:13" ht="128.25">
      <c r="A2297" s="199">
        <v>2296</v>
      </c>
      <c r="B2297" s="199" t="s">
        <v>5582</v>
      </c>
      <c r="C2297" s="199" t="s">
        <v>25</v>
      </c>
      <c r="D2297" s="199" t="s">
        <v>17</v>
      </c>
      <c r="E2297" s="199">
        <v>8000</v>
      </c>
      <c r="F2297" s="199" t="s">
        <v>255</v>
      </c>
      <c r="G2297" s="199" t="s">
        <v>5581</v>
      </c>
      <c r="H2297" s="200">
        <v>40320</v>
      </c>
      <c r="I2297" s="199" t="s">
        <v>20</v>
      </c>
      <c r="J2297" s="199" t="s">
        <v>415</v>
      </c>
      <c r="K2297" s="199"/>
      <c r="L2297" s="199" t="s">
        <v>3694</v>
      </c>
      <c r="M2297" s="199" t="s">
        <v>3320</v>
      </c>
    </row>
    <row r="2298" spans="1:13" ht="57">
      <c r="A2298" s="199">
        <v>2297</v>
      </c>
      <c r="B2298" s="199" t="s">
        <v>5583</v>
      </c>
      <c r="C2298" s="199" t="s">
        <v>25</v>
      </c>
      <c r="D2298" s="199" t="s">
        <v>17</v>
      </c>
      <c r="E2298" s="199">
        <v>1200</v>
      </c>
      <c r="F2298" s="199" t="s">
        <v>5584</v>
      </c>
      <c r="G2298" s="199" t="s">
        <v>5585</v>
      </c>
      <c r="H2298" s="200">
        <v>123408</v>
      </c>
      <c r="I2298" s="199" t="s">
        <v>38</v>
      </c>
      <c r="J2298" s="199" t="s">
        <v>415</v>
      </c>
      <c r="K2298" s="201">
        <v>44524</v>
      </c>
      <c r="L2298" s="199" t="s">
        <v>5586</v>
      </c>
      <c r="M2298" s="199" t="s">
        <v>3320</v>
      </c>
    </row>
    <row r="2299" spans="1:13" ht="228">
      <c r="A2299" s="199">
        <v>2298</v>
      </c>
      <c r="B2299" s="199" t="s">
        <v>5587</v>
      </c>
      <c r="C2299" s="199" t="s">
        <v>25</v>
      </c>
      <c r="D2299" s="199" t="s">
        <v>17</v>
      </c>
      <c r="E2299" s="199" t="s">
        <v>1721</v>
      </c>
      <c r="F2299" s="199" t="s">
        <v>1721</v>
      </c>
      <c r="G2299" s="199" t="s">
        <v>5588</v>
      </c>
      <c r="H2299" s="200">
        <v>8652.2900000000009</v>
      </c>
      <c r="I2299" s="199" t="s">
        <v>20</v>
      </c>
      <c r="J2299" s="199" t="s">
        <v>415</v>
      </c>
      <c r="K2299" s="201">
        <v>45296</v>
      </c>
      <c r="L2299" s="199" t="s">
        <v>5589</v>
      </c>
      <c r="M2299" s="199" t="s">
        <v>3320</v>
      </c>
    </row>
    <row r="2300" spans="1:13" ht="57">
      <c r="A2300" s="199">
        <v>2299</v>
      </c>
      <c r="B2300" s="199" t="s">
        <v>5590</v>
      </c>
      <c r="C2300" s="199" t="s">
        <v>25</v>
      </c>
      <c r="D2300" s="199" t="s">
        <v>17</v>
      </c>
      <c r="E2300" s="199">
        <v>480</v>
      </c>
      <c r="F2300" s="199" t="s">
        <v>8</v>
      </c>
      <c r="G2300" s="199" t="s">
        <v>5591</v>
      </c>
      <c r="H2300" s="200">
        <v>141120</v>
      </c>
      <c r="I2300" s="199" t="s">
        <v>20</v>
      </c>
      <c r="J2300" s="199" t="s">
        <v>2146</v>
      </c>
      <c r="K2300" s="201">
        <v>45314</v>
      </c>
      <c r="L2300" s="199" t="s">
        <v>5592</v>
      </c>
      <c r="M2300" s="199" t="s">
        <v>3320</v>
      </c>
    </row>
    <row r="2301" spans="1:13" ht="71.25">
      <c r="A2301" s="199">
        <v>2300</v>
      </c>
      <c r="B2301" s="199" t="s">
        <v>5593</v>
      </c>
      <c r="C2301" s="199" t="s">
        <v>25</v>
      </c>
      <c r="D2301" s="199" t="s">
        <v>17</v>
      </c>
      <c r="E2301" s="202">
        <v>1464000</v>
      </c>
      <c r="F2301" s="199" t="s">
        <v>1222</v>
      </c>
      <c r="G2301" s="199" t="s">
        <v>5594</v>
      </c>
      <c r="H2301" s="200">
        <v>176558.4</v>
      </c>
      <c r="I2301" s="199"/>
      <c r="J2301" s="199" t="s">
        <v>415</v>
      </c>
      <c r="K2301" s="201">
        <v>44020</v>
      </c>
      <c r="L2301" s="199" t="s">
        <v>5595</v>
      </c>
      <c r="M2301" s="199" t="s">
        <v>3320</v>
      </c>
    </row>
    <row r="2302" spans="1:13" ht="114">
      <c r="A2302" s="199">
        <v>2301</v>
      </c>
      <c r="B2302" s="199" t="s">
        <v>5596</v>
      </c>
      <c r="C2302" s="199" t="s">
        <v>34</v>
      </c>
      <c r="D2302" s="199" t="s">
        <v>35</v>
      </c>
      <c r="E2302" s="199">
        <v>120</v>
      </c>
      <c r="F2302" s="199" t="s">
        <v>3846</v>
      </c>
      <c r="G2302" s="199" t="s">
        <v>5597</v>
      </c>
      <c r="H2302" s="200">
        <v>42800.4</v>
      </c>
      <c r="I2302" s="199" t="s">
        <v>20</v>
      </c>
      <c r="J2302" s="199" t="s">
        <v>415</v>
      </c>
      <c r="K2302" s="201">
        <v>45474</v>
      </c>
      <c r="L2302" s="199" t="s">
        <v>3319</v>
      </c>
      <c r="M2302" s="199" t="s">
        <v>3320</v>
      </c>
    </row>
    <row r="2303" spans="1:13" ht="114">
      <c r="A2303" s="199">
        <v>2302</v>
      </c>
      <c r="B2303" s="199" t="s">
        <v>5598</v>
      </c>
      <c r="C2303" s="199" t="s">
        <v>34</v>
      </c>
      <c r="D2303" s="199" t="s">
        <v>35</v>
      </c>
      <c r="E2303" s="199">
        <v>150</v>
      </c>
      <c r="F2303" s="199" t="s">
        <v>3846</v>
      </c>
      <c r="G2303" s="199" t="s">
        <v>5597</v>
      </c>
      <c r="H2303" s="200">
        <v>58750.5</v>
      </c>
      <c r="I2303" s="199" t="s">
        <v>20</v>
      </c>
      <c r="J2303" s="199" t="s">
        <v>415</v>
      </c>
      <c r="K2303" s="201">
        <v>45474</v>
      </c>
      <c r="L2303" s="199" t="s">
        <v>3319</v>
      </c>
      <c r="M2303" s="199" t="s">
        <v>3320</v>
      </c>
    </row>
    <row r="2304" spans="1:13" ht="99.75">
      <c r="A2304" s="199">
        <v>2303</v>
      </c>
      <c r="B2304" s="199" t="s">
        <v>5599</v>
      </c>
      <c r="C2304" s="199" t="s">
        <v>34</v>
      </c>
      <c r="D2304" s="199" t="s">
        <v>35</v>
      </c>
      <c r="E2304" s="199">
        <v>1400000</v>
      </c>
      <c r="F2304" s="199" t="s">
        <v>8</v>
      </c>
      <c r="G2304" s="199" t="s">
        <v>5600</v>
      </c>
      <c r="H2304" s="200">
        <v>994000</v>
      </c>
      <c r="I2304" s="199" t="s">
        <v>20</v>
      </c>
      <c r="J2304" s="199" t="s">
        <v>415</v>
      </c>
      <c r="K2304" s="201">
        <v>45646</v>
      </c>
      <c r="L2304" s="199" t="s">
        <v>3319</v>
      </c>
      <c r="M2304" s="199" t="s">
        <v>3320</v>
      </c>
    </row>
    <row r="2305" spans="1:13" ht="28.5">
      <c r="A2305" s="199">
        <v>2304</v>
      </c>
      <c r="B2305" s="199" t="s">
        <v>5601</v>
      </c>
      <c r="C2305" s="199" t="s">
        <v>25</v>
      </c>
      <c r="D2305" s="199" t="s">
        <v>17</v>
      </c>
      <c r="E2305" s="199">
        <v>12</v>
      </c>
      <c r="F2305" s="199" t="s">
        <v>3801</v>
      </c>
      <c r="G2305" s="199" t="s">
        <v>2074</v>
      </c>
      <c r="H2305" s="200">
        <v>1000</v>
      </c>
      <c r="I2305" s="199" t="s">
        <v>20</v>
      </c>
      <c r="J2305" s="199" t="s">
        <v>415</v>
      </c>
      <c r="K2305" s="204">
        <v>45292</v>
      </c>
      <c r="L2305" s="199" t="s">
        <v>20</v>
      </c>
      <c r="M2305" s="199" t="s">
        <v>3320</v>
      </c>
    </row>
    <row r="2306" spans="1:13" ht="85.5">
      <c r="A2306" s="199">
        <v>2305</v>
      </c>
      <c r="B2306" s="199" t="s">
        <v>5602</v>
      </c>
      <c r="C2306" s="199" t="s">
        <v>25</v>
      </c>
      <c r="D2306" s="199" t="s">
        <v>3351</v>
      </c>
      <c r="E2306" s="199">
        <v>40</v>
      </c>
      <c r="F2306" s="199" t="s">
        <v>8</v>
      </c>
      <c r="G2306" s="199" t="s">
        <v>2074</v>
      </c>
      <c r="H2306" s="200">
        <f>18*E2306</f>
        <v>720</v>
      </c>
      <c r="I2306" s="199" t="s">
        <v>20</v>
      </c>
      <c r="J2306" s="199" t="s">
        <v>415</v>
      </c>
      <c r="K2306" s="204">
        <v>45292</v>
      </c>
      <c r="L2306" s="199" t="s">
        <v>20</v>
      </c>
      <c r="M2306" s="199" t="s">
        <v>3320</v>
      </c>
    </row>
    <row r="2307" spans="1:13" ht="185.25">
      <c r="A2307" s="199">
        <v>2306</v>
      </c>
      <c r="B2307" s="199" t="s">
        <v>5603</v>
      </c>
      <c r="C2307" s="199" t="s">
        <v>25</v>
      </c>
      <c r="D2307" s="199" t="s">
        <v>17</v>
      </c>
      <c r="E2307" s="202">
        <v>16000</v>
      </c>
      <c r="F2307" s="199" t="s">
        <v>5604</v>
      </c>
      <c r="G2307" s="199" t="s">
        <v>2074</v>
      </c>
      <c r="H2307" s="200">
        <v>85200</v>
      </c>
      <c r="I2307" s="199" t="s">
        <v>38</v>
      </c>
      <c r="J2307" s="199" t="s">
        <v>415</v>
      </c>
      <c r="K2307" s="201">
        <v>45309</v>
      </c>
      <c r="L2307" s="199" t="s">
        <v>3717</v>
      </c>
      <c r="M2307" s="199" t="s">
        <v>3320</v>
      </c>
    </row>
    <row r="2308" spans="1:13" ht="156.75">
      <c r="A2308" s="199">
        <v>2307</v>
      </c>
      <c r="B2308" s="199" t="s">
        <v>5605</v>
      </c>
      <c r="C2308" s="199" t="s">
        <v>25</v>
      </c>
      <c r="D2308" s="199" t="s">
        <v>17</v>
      </c>
      <c r="E2308" s="202">
        <v>600000</v>
      </c>
      <c r="F2308" s="199" t="s">
        <v>5604</v>
      </c>
      <c r="G2308" s="199" t="s">
        <v>2074</v>
      </c>
      <c r="H2308" s="200">
        <v>1858500</v>
      </c>
      <c r="I2308" s="199" t="s">
        <v>38</v>
      </c>
      <c r="J2308" s="199" t="s">
        <v>415</v>
      </c>
      <c r="K2308" s="201">
        <v>45309</v>
      </c>
      <c r="L2308" s="199" t="s">
        <v>3717</v>
      </c>
      <c r="M2308" s="199" t="s">
        <v>3320</v>
      </c>
    </row>
    <row r="2309" spans="1:13" ht="142.5">
      <c r="A2309" s="199">
        <v>2308</v>
      </c>
      <c r="B2309" s="199" t="s">
        <v>5606</v>
      </c>
      <c r="C2309" s="199" t="s">
        <v>25</v>
      </c>
      <c r="D2309" s="199" t="s">
        <v>17</v>
      </c>
      <c r="E2309" s="202">
        <v>600000</v>
      </c>
      <c r="F2309" s="199" t="s">
        <v>5604</v>
      </c>
      <c r="G2309" s="199" t="s">
        <v>2074</v>
      </c>
      <c r="H2309" s="200">
        <v>1588500</v>
      </c>
      <c r="I2309" s="199" t="s">
        <v>38</v>
      </c>
      <c r="J2309" s="199" t="s">
        <v>415</v>
      </c>
      <c r="K2309" s="201">
        <v>45309</v>
      </c>
      <c r="L2309" s="199" t="s">
        <v>3717</v>
      </c>
      <c r="M2309" s="199" t="s">
        <v>3320</v>
      </c>
    </row>
    <row r="2310" spans="1:13" ht="142.5">
      <c r="A2310" s="199">
        <v>2309</v>
      </c>
      <c r="B2310" s="199" t="s">
        <v>5607</v>
      </c>
      <c r="C2310" s="199" t="s">
        <v>25</v>
      </c>
      <c r="D2310" s="199" t="s">
        <v>17</v>
      </c>
      <c r="E2310" s="202">
        <v>120000</v>
      </c>
      <c r="F2310" s="199" t="s">
        <v>5604</v>
      </c>
      <c r="G2310" s="199" t="s">
        <v>2074</v>
      </c>
      <c r="H2310" s="200">
        <v>427500</v>
      </c>
      <c r="I2310" s="199" t="s">
        <v>38</v>
      </c>
      <c r="J2310" s="199" t="s">
        <v>415</v>
      </c>
      <c r="K2310" s="201">
        <v>45309</v>
      </c>
      <c r="L2310" s="199" t="s">
        <v>3717</v>
      </c>
      <c r="M2310" s="199" t="s">
        <v>3320</v>
      </c>
    </row>
    <row r="2311" spans="1:13" ht="114">
      <c r="A2311" s="199">
        <v>2310</v>
      </c>
      <c r="B2311" s="199" t="s">
        <v>5608</v>
      </c>
      <c r="C2311" s="199" t="s">
        <v>25</v>
      </c>
      <c r="D2311" s="199" t="s">
        <v>17</v>
      </c>
      <c r="E2311" s="202">
        <v>60000</v>
      </c>
      <c r="F2311" s="199" t="s">
        <v>5604</v>
      </c>
      <c r="G2311" s="199" t="s">
        <v>2074</v>
      </c>
      <c r="H2311" s="200">
        <v>310200</v>
      </c>
      <c r="I2311" s="199" t="s">
        <v>38</v>
      </c>
      <c r="J2311" s="199" t="s">
        <v>415</v>
      </c>
      <c r="K2311" s="201">
        <v>45337</v>
      </c>
      <c r="L2311" s="199" t="s">
        <v>3717</v>
      </c>
      <c r="M2311" s="199" t="s">
        <v>3320</v>
      </c>
    </row>
    <row r="2312" spans="1:13" ht="114">
      <c r="A2312" s="199">
        <v>2311</v>
      </c>
      <c r="B2312" s="199" t="s">
        <v>5609</v>
      </c>
      <c r="C2312" s="199" t="s">
        <v>25</v>
      </c>
      <c r="D2312" s="199" t="s">
        <v>17</v>
      </c>
      <c r="E2312" s="202">
        <v>120000</v>
      </c>
      <c r="F2312" s="199" t="s">
        <v>5604</v>
      </c>
      <c r="G2312" s="199" t="s">
        <v>2074</v>
      </c>
      <c r="H2312" s="200">
        <v>502800</v>
      </c>
      <c r="I2312" s="199" t="s">
        <v>38</v>
      </c>
      <c r="J2312" s="199" t="s">
        <v>415</v>
      </c>
      <c r="K2312" s="201">
        <v>45337</v>
      </c>
      <c r="L2312" s="199" t="s">
        <v>3717</v>
      </c>
      <c r="M2312" s="199" t="s">
        <v>3320</v>
      </c>
    </row>
    <row r="2313" spans="1:13" ht="85.5">
      <c r="A2313" s="199">
        <v>2312</v>
      </c>
      <c r="B2313" s="199" t="s">
        <v>5610</v>
      </c>
      <c r="C2313" s="199" t="s">
        <v>25</v>
      </c>
      <c r="D2313" s="199" t="s">
        <v>17</v>
      </c>
      <c r="E2313" s="199">
        <v>120000</v>
      </c>
      <c r="F2313" s="199" t="s">
        <v>5604</v>
      </c>
      <c r="G2313" s="199" t="s">
        <v>2074</v>
      </c>
      <c r="H2313" s="200">
        <v>903600</v>
      </c>
      <c r="I2313" s="199" t="s">
        <v>38</v>
      </c>
      <c r="J2313" s="199" t="s">
        <v>415</v>
      </c>
      <c r="K2313" s="201">
        <v>45352</v>
      </c>
      <c r="L2313" s="199" t="s">
        <v>38</v>
      </c>
      <c r="M2313" s="199" t="s">
        <v>3320</v>
      </c>
    </row>
    <row r="2314" spans="1:13" ht="85.5">
      <c r="A2314" s="199">
        <v>2313</v>
      </c>
      <c r="B2314" s="199" t="s">
        <v>5611</v>
      </c>
      <c r="C2314" s="199" t="s">
        <v>25</v>
      </c>
      <c r="D2314" s="199" t="s">
        <v>17</v>
      </c>
      <c r="E2314" s="199">
        <v>240000</v>
      </c>
      <c r="F2314" s="199" t="s">
        <v>5604</v>
      </c>
      <c r="G2314" s="199" t="s">
        <v>2074</v>
      </c>
      <c r="H2314" s="200">
        <v>2167200</v>
      </c>
      <c r="I2314" s="199" t="s">
        <v>38</v>
      </c>
      <c r="J2314" s="199" t="s">
        <v>415</v>
      </c>
      <c r="K2314" s="201">
        <v>45352</v>
      </c>
      <c r="L2314" s="199" t="s">
        <v>38</v>
      </c>
      <c r="M2314" s="199" t="s">
        <v>3320</v>
      </c>
    </row>
    <row r="2315" spans="1:13" ht="85.5">
      <c r="A2315" s="199">
        <v>2314</v>
      </c>
      <c r="B2315" s="199" t="s">
        <v>5612</v>
      </c>
      <c r="C2315" s="199" t="s">
        <v>5613</v>
      </c>
      <c r="D2315" s="199" t="s">
        <v>17</v>
      </c>
      <c r="E2315" s="199">
        <v>60000</v>
      </c>
      <c r="F2315" s="199" t="s">
        <v>5604</v>
      </c>
      <c r="G2315" s="199" t="s">
        <v>2074</v>
      </c>
      <c r="H2315" s="200">
        <v>1905600</v>
      </c>
      <c r="I2315" s="199" t="s">
        <v>38</v>
      </c>
      <c r="J2315" s="199" t="s">
        <v>415</v>
      </c>
      <c r="K2315" s="201">
        <v>45352</v>
      </c>
      <c r="L2315" s="199" t="s">
        <v>38</v>
      </c>
      <c r="M2315" s="199" t="s">
        <v>3320</v>
      </c>
    </row>
    <row r="2316" spans="1:13" ht="114">
      <c r="A2316" s="199">
        <v>2315</v>
      </c>
      <c r="B2316" s="199" t="s">
        <v>5614</v>
      </c>
      <c r="C2316" s="199" t="s">
        <v>25</v>
      </c>
      <c r="D2316" s="199" t="s">
        <v>17</v>
      </c>
      <c r="E2316" s="199">
        <v>275</v>
      </c>
      <c r="F2316" s="199" t="s">
        <v>756</v>
      </c>
      <c r="G2316" s="199" t="s">
        <v>5615</v>
      </c>
      <c r="H2316" s="200">
        <v>61525</v>
      </c>
      <c r="I2316" s="199" t="s">
        <v>20</v>
      </c>
      <c r="J2316" s="199" t="s">
        <v>415</v>
      </c>
      <c r="K2316" s="201">
        <v>45282</v>
      </c>
      <c r="L2316" s="199" t="s">
        <v>5616</v>
      </c>
      <c r="M2316" s="199" t="s">
        <v>3320</v>
      </c>
    </row>
    <row r="2317" spans="1:13" ht="128.25">
      <c r="A2317" s="199">
        <v>2316</v>
      </c>
      <c r="B2317" s="199" t="s">
        <v>5617</v>
      </c>
      <c r="C2317" s="199" t="s">
        <v>25</v>
      </c>
      <c r="D2317" s="199" t="s">
        <v>17</v>
      </c>
      <c r="E2317" s="199">
        <v>297</v>
      </c>
      <c r="F2317" s="199" t="s">
        <v>756</v>
      </c>
      <c r="G2317" s="199" t="s">
        <v>5615</v>
      </c>
      <c r="H2317" s="205">
        <v>32017.64</v>
      </c>
      <c r="I2317" s="199" t="s">
        <v>20</v>
      </c>
      <c r="J2317" s="199" t="s">
        <v>415</v>
      </c>
      <c r="K2317" s="201">
        <v>45282</v>
      </c>
      <c r="L2317" s="199" t="s">
        <v>5616</v>
      </c>
      <c r="M2317" s="199" t="s">
        <v>3320</v>
      </c>
    </row>
    <row r="2318" spans="1:13" ht="85.5">
      <c r="A2318" s="199">
        <v>2317</v>
      </c>
      <c r="B2318" s="199" t="s">
        <v>5618</v>
      </c>
      <c r="C2318" s="199" t="s">
        <v>25</v>
      </c>
      <c r="D2318" s="199" t="s">
        <v>17</v>
      </c>
      <c r="E2318" s="199">
        <v>2651</v>
      </c>
      <c r="F2318" s="199" t="s">
        <v>756</v>
      </c>
      <c r="G2318" s="199" t="s">
        <v>5615</v>
      </c>
      <c r="H2318" s="200">
        <v>22268.400000000001</v>
      </c>
      <c r="I2318" s="199" t="s">
        <v>20</v>
      </c>
      <c r="J2318" s="199" t="s">
        <v>415</v>
      </c>
      <c r="K2318" s="201">
        <v>45282</v>
      </c>
      <c r="L2318" s="199" t="s">
        <v>5616</v>
      </c>
      <c r="M2318" s="199" t="s">
        <v>3320</v>
      </c>
    </row>
    <row r="2319" spans="1:13" ht="99.75">
      <c r="A2319" s="199">
        <v>2318</v>
      </c>
      <c r="B2319" s="199" t="s">
        <v>5619</v>
      </c>
      <c r="C2319" s="199" t="s">
        <v>25</v>
      </c>
      <c r="D2319" s="199" t="s">
        <v>17</v>
      </c>
      <c r="E2319" s="199">
        <v>594</v>
      </c>
      <c r="F2319" s="199" t="s">
        <v>756</v>
      </c>
      <c r="G2319" s="199" t="s">
        <v>5615</v>
      </c>
      <c r="H2319" s="200">
        <v>16197.49</v>
      </c>
      <c r="I2319" s="199" t="s">
        <v>20</v>
      </c>
      <c r="J2319" s="199" t="s">
        <v>415</v>
      </c>
      <c r="K2319" s="201">
        <v>45282</v>
      </c>
      <c r="L2319" s="199" t="s">
        <v>5616</v>
      </c>
      <c r="M2319" s="199" t="s">
        <v>3320</v>
      </c>
    </row>
    <row r="2320" spans="1:13" ht="99.75">
      <c r="A2320" s="199">
        <v>2319</v>
      </c>
      <c r="B2320" s="199" t="s">
        <v>5620</v>
      </c>
      <c r="C2320" s="199" t="s">
        <v>25</v>
      </c>
      <c r="D2320" s="199" t="s">
        <v>17</v>
      </c>
      <c r="E2320" s="199">
        <v>187</v>
      </c>
      <c r="F2320" s="199" t="s">
        <v>756</v>
      </c>
      <c r="G2320" s="199" t="s">
        <v>5615</v>
      </c>
      <c r="H2320" s="200">
        <v>7329.86</v>
      </c>
      <c r="I2320" s="199" t="s">
        <v>20</v>
      </c>
      <c r="J2320" s="199" t="s">
        <v>415</v>
      </c>
      <c r="K2320" s="201">
        <v>45282</v>
      </c>
      <c r="L2320" s="199" t="s">
        <v>5616</v>
      </c>
      <c r="M2320" s="199" t="s">
        <v>3320</v>
      </c>
    </row>
    <row r="2321" spans="1:13" ht="99.75">
      <c r="A2321" s="199">
        <v>2320</v>
      </c>
      <c r="B2321" s="199" t="s">
        <v>5621</v>
      </c>
      <c r="C2321" s="199" t="s">
        <v>25</v>
      </c>
      <c r="D2321" s="199" t="s">
        <v>17</v>
      </c>
      <c r="E2321" s="199">
        <v>77</v>
      </c>
      <c r="F2321" s="199" t="s">
        <v>756</v>
      </c>
      <c r="G2321" s="199" t="s">
        <v>5615</v>
      </c>
      <c r="H2321" s="200">
        <v>14342.21</v>
      </c>
      <c r="I2321" s="199" t="s">
        <v>20</v>
      </c>
      <c r="J2321" s="199" t="s">
        <v>415</v>
      </c>
      <c r="K2321" s="201">
        <v>45282</v>
      </c>
      <c r="L2321" s="199" t="s">
        <v>5616</v>
      </c>
      <c r="M2321" s="199" t="s">
        <v>3320</v>
      </c>
    </row>
    <row r="2322" spans="1:13" ht="85.5">
      <c r="A2322" s="199">
        <v>2321</v>
      </c>
      <c r="B2322" s="199" t="s">
        <v>5622</v>
      </c>
      <c r="C2322" s="199" t="s">
        <v>25</v>
      </c>
      <c r="D2322" s="199" t="s">
        <v>17</v>
      </c>
      <c r="E2322" s="199">
        <v>275</v>
      </c>
      <c r="F2322" s="199" t="s">
        <v>756</v>
      </c>
      <c r="G2322" s="199" t="s">
        <v>5615</v>
      </c>
      <c r="H2322" s="200">
        <v>40893.93</v>
      </c>
      <c r="I2322" s="199" t="s">
        <v>20</v>
      </c>
      <c r="J2322" s="199" t="s">
        <v>415</v>
      </c>
      <c r="K2322" s="201">
        <v>45282</v>
      </c>
      <c r="L2322" s="199" t="s">
        <v>5616</v>
      </c>
      <c r="M2322" s="199" t="s">
        <v>3320</v>
      </c>
    </row>
    <row r="2323" spans="1:13" ht="85.5">
      <c r="A2323" s="199">
        <v>2322</v>
      </c>
      <c r="B2323" s="199" t="s">
        <v>5623</v>
      </c>
      <c r="C2323" s="199" t="s">
        <v>25</v>
      </c>
      <c r="D2323" s="199" t="s">
        <v>17</v>
      </c>
      <c r="E2323" s="199">
        <v>2772</v>
      </c>
      <c r="F2323" s="199" t="s">
        <v>756</v>
      </c>
      <c r="G2323" s="199" t="s">
        <v>5615</v>
      </c>
      <c r="H2323" s="200">
        <v>23839.200000000001</v>
      </c>
      <c r="I2323" s="199" t="s">
        <v>20</v>
      </c>
      <c r="J2323" s="199" t="s">
        <v>415</v>
      </c>
      <c r="K2323" s="201">
        <v>45282</v>
      </c>
      <c r="L2323" s="199" t="s">
        <v>5616</v>
      </c>
      <c r="M2323" s="199" t="s">
        <v>3320</v>
      </c>
    </row>
    <row r="2324" spans="1:13" ht="99.75">
      <c r="A2324" s="199">
        <v>2323</v>
      </c>
      <c r="B2324" s="199" t="s">
        <v>5624</v>
      </c>
      <c r="C2324" s="199" t="s">
        <v>25</v>
      </c>
      <c r="D2324" s="199" t="s">
        <v>17</v>
      </c>
      <c r="E2324" s="199">
        <v>264</v>
      </c>
      <c r="F2324" s="199" t="s">
        <v>756</v>
      </c>
      <c r="G2324" s="199" t="s">
        <v>5615</v>
      </c>
      <c r="H2324" s="200">
        <v>23839.200000000001</v>
      </c>
      <c r="I2324" s="199" t="s">
        <v>20</v>
      </c>
      <c r="J2324" s="199" t="s">
        <v>415</v>
      </c>
      <c r="K2324" s="201">
        <v>45282</v>
      </c>
      <c r="L2324" s="199" t="s">
        <v>5616</v>
      </c>
      <c r="M2324" s="199" t="s">
        <v>3320</v>
      </c>
    </row>
    <row r="2325" spans="1:13" ht="99.75">
      <c r="A2325" s="199">
        <v>2324</v>
      </c>
      <c r="B2325" s="199" t="s">
        <v>5625</v>
      </c>
      <c r="C2325" s="199" t="s">
        <v>25</v>
      </c>
      <c r="D2325" s="199" t="s">
        <v>17</v>
      </c>
      <c r="E2325" s="199">
        <v>264</v>
      </c>
      <c r="F2325" s="199" t="s">
        <v>756</v>
      </c>
      <c r="G2325" s="199" t="s">
        <v>5615</v>
      </c>
      <c r="H2325" s="200">
        <v>18295.2</v>
      </c>
      <c r="I2325" s="199" t="s">
        <v>20</v>
      </c>
      <c r="J2325" s="199" t="s">
        <v>415</v>
      </c>
      <c r="K2325" s="201">
        <v>45282</v>
      </c>
      <c r="L2325" s="199" t="s">
        <v>5616</v>
      </c>
      <c r="M2325" s="199" t="s">
        <v>3320</v>
      </c>
    </row>
    <row r="2326" spans="1:13" ht="114">
      <c r="A2326" s="199">
        <v>2325</v>
      </c>
      <c r="B2326" s="199" t="s">
        <v>5626</v>
      </c>
      <c r="C2326" s="199" t="s">
        <v>25</v>
      </c>
      <c r="D2326" s="199" t="s">
        <v>17</v>
      </c>
      <c r="E2326" s="199">
        <v>264</v>
      </c>
      <c r="F2326" s="199" t="s">
        <v>756</v>
      </c>
      <c r="G2326" s="199" t="s">
        <v>5615</v>
      </c>
      <c r="H2326" s="200">
        <v>3326.4</v>
      </c>
      <c r="I2326" s="199" t="s">
        <v>20</v>
      </c>
      <c r="J2326" s="199" t="s">
        <v>415</v>
      </c>
      <c r="K2326" s="201">
        <v>45282</v>
      </c>
      <c r="L2326" s="199" t="s">
        <v>5616</v>
      </c>
      <c r="M2326" s="199" t="s">
        <v>3320</v>
      </c>
    </row>
  </sheetData>
  <pageMargins left="0.511811024" right="0.511811024" top="0.78740157499999996" bottom="0.78740157499999996" header="0.31496062000000002" footer="0.3149606200000000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05BFF-32F7-4E5D-8F4B-957D0A0CBAAA}">
  <dimension ref="A1:M231"/>
  <sheetViews>
    <sheetView tabSelected="1" workbookViewId="0">
      <selection activeCell="F5" sqref="F5"/>
    </sheetView>
  </sheetViews>
  <sheetFormatPr defaultRowHeight="15"/>
  <cols>
    <col min="2" max="2" width="18.28515625" bestFit="1" customWidth="1"/>
    <col min="8" max="8" width="17" customWidth="1"/>
    <col min="13" max="13" width="30" bestFit="1" customWidth="1"/>
  </cols>
  <sheetData>
    <row r="1" spans="1:13">
      <c r="A1" s="246" t="s">
        <v>5627</v>
      </c>
      <c r="B1" s="246" t="s">
        <v>9</v>
      </c>
      <c r="C1" s="246" t="s">
        <v>5628</v>
      </c>
      <c r="D1" s="246" t="s">
        <v>1</v>
      </c>
      <c r="E1" s="246" t="s">
        <v>11</v>
      </c>
      <c r="F1" s="253" t="s">
        <v>8</v>
      </c>
      <c r="G1" s="249" t="s">
        <v>2</v>
      </c>
      <c r="H1" s="251" t="s">
        <v>3</v>
      </c>
      <c r="I1" s="246" t="s">
        <v>4</v>
      </c>
      <c r="J1" s="246" t="s">
        <v>5</v>
      </c>
      <c r="K1" s="246" t="s">
        <v>6</v>
      </c>
      <c r="L1" s="246" t="s">
        <v>7</v>
      </c>
      <c r="M1" s="246" t="s">
        <v>5629</v>
      </c>
    </row>
    <row r="2" spans="1:13">
      <c r="A2" s="247"/>
      <c r="B2" s="247"/>
      <c r="C2" s="247"/>
      <c r="D2" s="247"/>
      <c r="E2" s="247"/>
      <c r="F2" s="254"/>
      <c r="G2" s="250"/>
      <c r="H2" s="252"/>
      <c r="I2" s="247"/>
      <c r="J2" s="247"/>
      <c r="K2" s="247"/>
      <c r="L2" s="247"/>
      <c r="M2" s="247"/>
    </row>
    <row r="3" spans="1:13" ht="30">
      <c r="A3" s="114">
        <v>1</v>
      </c>
      <c r="B3" s="115" t="s">
        <v>590</v>
      </c>
      <c r="C3" s="114" t="s">
        <v>172</v>
      </c>
      <c r="D3" s="114" t="s">
        <v>35</v>
      </c>
      <c r="E3" s="115">
        <v>120</v>
      </c>
      <c r="F3" s="115" t="s">
        <v>5630</v>
      </c>
      <c r="G3" s="114" t="s">
        <v>5631</v>
      </c>
      <c r="H3" s="206">
        <v>900</v>
      </c>
      <c r="I3" s="114" t="s">
        <v>386</v>
      </c>
      <c r="J3" s="114" t="s">
        <v>169</v>
      </c>
      <c r="K3" s="207">
        <v>45292</v>
      </c>
      <c r="L3" s="114"/>
      <c r="M3" s="115" t="s">
        <v>5632</v>
      </c>
    </row>
    <row r="4" spans="1:13" ht="30">
      <c r="A4" s="114">
        <v>2</v>
      </c>
      <c r="B4" s="114" t="s">
        <v>573</v>
      </c>
      <c r="C4" s="114" t="s">
        <v>172</v>
      </c>
      <c r="D4" s="114" t="s">
        <v>35</v>
      </c>
      <c r="E4" s="115">
        <v>120</v>
      </c>
      <c r="F4" s="115" t="s">
        <v>5633</v>
      </c>
      <c r="G4" s="114" t="s">
        <v>5631</v>
      </c>
      <c r="H4" s="206">
        <v>550</v>
      </c>
      <c r="I4" s="114" t="s">
        <v>386</v>
      </c>
      <c r="J4" s="114" t="s">
        <v>169</v>
      </c>
      <c r="K4" s="207">
        <v>45292</v>
      </c>
      <c r="L4" s="114"/>
      <c r="M4" s="115" t="s">
        <v>5632</v>
      </c>
    </row>
    <row r="5" spans="1:13" ht="30">
      <c r="A5" s="114">
        <v>3</v>
      </c>
      <c r="B5" s="114" t="s">
        <v>5634</v>
      </c>
      <c r="C5" s="114" t="s">
        <v>172</v>
      </c>
      <c r="D5" s="114" t="s">
        <v>35</v>
      </c>
      <c r="E5" s="115">
        <v>400</v>
      </c>
      <c r="F5" s="115" t="s">
        <v>5635</v>
      </c>
      <c r="G5" s="114" t="s">
        <v>205</v>
      </c>
      <c r="H5" s="208">
        <v>5500</v>
      </c>
      <c r="I5" s="114" t="s">
        <v>386</v>
      </c>
      <c r="J5" s="114" t="s">
        <v>21</v>
      </c>
      <c r="K5" s="207">
        <v>45292</v>
      </c>
      <c r="L5" s="114"/>
      <c r="M5" s="115" t="s">
        <v>5632</v>
      </c>
    </row>
    <row r="6" spans="1:13" ht="45">
      <c r="A6" s="114">
        <v>4</v>
      </c>
      <c r="B6" s="114" t="s">
        <v>5636</v>
      </c>
      <c r="C6" s="114" t="s">
        <v>172</v>
      </c>
      <c r="D6" s="114" t="s">
        <v>35</v>
      </c>
      <c r="E6" s="115">
        <v>36</v>
      </c>
      <c r="F6" s="115" t="s">
        <v>5637</v>
      </c>
      <c r="G6" s="115" t="s">
        <v>211</v>
      </c>
      <c r="H6" s="206">
        <v>150</v>
      </c>
      <c r="I6" s="114" t="s">
        <v>386</v>
      </c>
      <c r="J6" s="114" t="s">
        <v>21</v>
      </c>
      <c r="K6" s="207">
        <v>45292</v>
      </c>
      <c r="L6" s="114"/>
      <c r="M6" s="115" t="s">
        <v>5632</v>
      </c>
    </row>
    <row r="7" spans="1:13" ht="30">
      <c r="A7" s="114">
        <v>5</v>
      </c>
      <c r="B7" s="114" t="s">
        <v>5638</v>
      </c>
      <c r="C7" s="114" t="s">
        <v>172</v>
      </c>
      <c r="D7" s="114" t="s">
        <v>35</v>
      </c>
      <c r="E7" s="115">
        <v>100</v>
      </c>
      <c r="F7" s="115" t="s">
        <v>5639</v>
      </c>
      <c r="G7" s="114" t="s">
        <v>5631</v>
      </c>
      <c r="H7" s="206">
        <v>750</v>
      </c>
      <c r="I7" s="114" t="s">
        <v>386</v>
      </c>
      <c r="J7" s="114" t="s">
        <v>169</v>
      </c>
      <c r="K7" s="207">
        <v>45292</v>
      </c>
      <c r="L7" s="114"/>
      <c r="M7" s="115" t="s">
        <v>5632</v>
      </c>
    </row>
    <row r="8" spans="1:13" ht="60">
      <c r="A8" s="114">
        <v>6</v>
      </c>
      <c r="B8" s="114" t="s">
        <v>5640</v>
      </c>
      <c r="C8" s="114" t="s">
        <v>172</v>
      </c>
      <c r="D8" s="114" t="s">
        <v>35</v>
      </c>
      <c r="E8" s="115">
        <v>900</v>
      </c>
      <c r="F8" s="115" t="s">
        <v>5641</v>
      </c>
      <c r="G8" s="114" t="s">
        <v>5631</v>
      </c>
      <c r="H8" s="206">
        <v>10400</v>
      </c>
      <c r="I8" s="114" t="s">
        <v>386</v>
      </c>
      <c r="J8" s="114" t="s">
        <v>21</v>
      </c>
      <c r="K8" s="207">
        <v>45292</v>
      </c>
      <c r="L8" s="114"/>
      <c r="M8" s="115" t="s">
        <v>5632</v>
      </c>
    </row>
    <row r="9" spans="1:13" ht="60">
      <c r="A9" s="114">
        <v>7</v>
      </c>
      <c r="B9" s="114" t="s">
        <v>5642</v>
      </c>
      <c r="C9" s="114" t="s">
        <v>172</v>
      </c>
      <c r="D9" s="114" t="s">
        <v>35</v>
      </c>
      <c r="E9" s="115">
        <v>384</v>
      </c>
      <c r="F9" s="115" t="s">
        <v>5643</v>
      </c>
      <c r="G9" s="115" t="s">
        <v>211</v>
      </c>
      <c r="H9" s="206">
        <v>2000</v>
      </c>
      <c r="I9" s="114" t="s">
        <v>386</v>
      </c>
      <c r="J9" s="114" t="s">
        <v>36</v>
      </c>
      <c r="K9" s="207">
        <v>45292</v>
      </c>
      <c r="L9" s="114"/>
      <c r="M9" s="115" t="s">
        <v>5632</v>
      </c>
    </row>
    <row r="10" spans="1:13" ht="60">
      <c r="A10" s="114">
        <v>8</v>
      </c>
      <c r="B10" s="114" t="s">
        <v>2401</v>
      </c>
      <c r="C10" s="114" t="s">
        <v>172</v>
      </c>
      <c r="D10" s="114" t="s">
        <v>35</v>
      </c>
      <c r="E10" s="115">
        <v>36</v>
      </c>
      <c r="F10" s="115" t="s">
        <v>5644</v>
      </c>
      <c r="G10" s="115" t="s">
        <v>251</v>
      </c>
      <c r="H10" s="206">
        <v>1300</v>
      </c>
      <c r="I10" s="114" t="s">
        <v>386</v>
      </c>
      <c r="J10" s="114" t="s">
        <v>169</v>
      </c>
      <c r="K10" s="207">
        <v>45292</v>
      </c>
      <c r="L10" s="114"/>
      <c r="M10" s="115" t="s">
        <v>5632</v>
      </c>
    </row>
    <row r="11" spans="1:13" ht="75">
      <c r="A11" s="114">
        <v>9</v>
      </c>
      <c r="B11" s="114" t="s">
        <v>5645</v>
      </c>
      <c r="C11" s="114" t="s">
        <v>172</v>
      </c>
      <c r="D11" s="114" t="s">
        <v>35</v>
      </c>
      <c r="E11" s="115">
        <v>20</v>
      </c>
      <c r="F11" s="37" t="s">
        <v>5646</v>
      </c>
      <c r="G11" s="115" t="s">
        <v>251</v>
      </c>
      <c r="H11" s="206">
        <v>100</v>
      </c>
      <c r="I11" s="114" t="s">
        <v>386</v>
      </c>
      <c r="J11" s="114" t="s">
        <v>36</v>
      </c>
      <c r="K11" s="207">
        <v>45292</v>
      </c>
      <c r="L11" s="114"/>
      <c r="M11" s="115" t="s">
        <v>5632</v>
      </c>
    </row>
    <row r="12" spans="1:13" ht="60">
      <c r="A12" s="114">
        <v>10</v>
      </c>
      <c r="B12" s="114" t="s">
        <v>5647</v>
      </c>
      <c r="C12" s="114" t="s">
        <v>172</v>
      </c>
      <c r="D12" s="114" t="s">
        <v>35</v>
      </c>
      <c r="E12" s="115">
        <v>24</v>
      </c>
      <c r="F12" s="114">
        <v>1</v>
      </c>
      <c r="G12" s="115" t="s">
        <v>251</v>
      </c>
      <c r="H12" s="206">
        <v>160</v>
      </c>
      <c r="I12" s="114" t="s">
        <v>386</v>
      </c>
      <c r="J12" s="114" t="s">
        <v>36</v>
      </c>
      <c r="K12" s="207">
        <v>45292</v>
      </c>
      <c r="L12" s="114"/>
      <c r="M12" s="115" t="s">
        <v>5632</v>
      </c>
    </row>
    <row r="13" spans="1:13" ht="60">
      <c r="A13" s="114">
        <v>11</v>
      </c>
      <c r="B13" s="114" t="s">
        <v>5648</v>
      </c>
      <c r="C13" s="114" t="s">
        <v>172</v>
      </c>
      <c r="D13" s="114" t="s">
        <v>35</v>
      </c>
      <c r="E13" s="115">
        <v>8</v>
      </c>
      <c r="F13" s="114">
        <v>1</v>
      </c>
      <c r="G13" s="115" t="s">
        <v>251</v>
      </c>
      <c r="H13" s="206">
        <v>200</v>
      </c>
      <c r="I13" s="114" t="s">
        <v>386</v>
      </c>
      <c r="J13" s="114" t="s">
        <v>169</v>
      </c>
      <c r="K13" s="207">
        <v>45292</v>
      </c>
      <c r="L13" s="114"/>
      <c r="M13" s="115" t="s">
        <v>5632</v>
      </c>
    </row>
    <row r="14" spans="1:13" ht="60">
      <c r="A14" s="114">
        <v>12</v>
      </c>
      <c r="B14" s="114" t="s">
        <v>5649</v>
      </c>
      <c r="C14" s="114" t="s">
        <v>172</v>
      </c>
      <c r="D14" s="114" t="s">
        <v>35</v>
      </c>
      <c r="E14" s="115">
        <v>50</v>
      </c>
      <c r="F14" s="114">
        <v>1</v>
      </c>
      <c r="G14" s="115" t="s">
        <v>251</v>
      </c>
      <c r="H14" s="206">
        <v>150</v>
      </c>
      <c r="I14" s="114" t="s">
        <v>386</v>
      </c>
      <c r="J14" s="114" t="s">
        <v>36</v>
      </c>
      <c r="K14" s="207">
        <v>45292</v>
      </c>
      <c r="L14" s="114"/>
      <c r="M14" s="115" t="s">
        <v>5632</v>
      </c>
    </row>
    <row r="15" spans="1:13" ht="60">
      <c r="A15" s="114">
        <v>13</v>
      </c>
      <c r="B15" s="115" t="s">
        <v>5650</v>
      </c>
      <c r="C15" s="114" t="s">
        <v>172</v>
      </c>
      <c r="D15" s="114" t="s">
        <v>35</v>
      </c>
      <c r="E15" s="115">
        <v>10</v>
      </c>
      <c r="F15" s="115" t="s">
        <v>5651</v>
      </c>
      <c r="G15" s="115" t="s">
        <v>251</v>
      </c>
      <c r="H15" s="206">
        <v>400</v>
      </c>
      <c r="I15" s="114" t="s">
        <v>386</v>
      </c>
      <c r="J15" s="114" t="s">
        <v>36</v>
      </c>
      <c r="K15" s="207">
        <v>45292</v>
      </c>
      <c r="L15" s="114"/>
      <c r="M15" s="115" t="s">
        <v>5632</v>
      </c>
    </row>
    <row r="16" spans="1:13" ht="60">
      <c r="A16" s="114">
        <v>14</v>
      </c>
      <c r="B16" s="114" t="s">
        <v>2361</v>
      </c>
      <c r="C16" s="114" t="s">
        <v>172</v>
      </c>
      <c r="D16" s="114" t="s">
        <v>35</v>
      </c>
      <c r="E16" s="115">
        <v>6</v>
      </c>
      <c r="F16" s="114">
        <v>1</v>
      </c>
      <c r="G16" s="115" t="s">
        <v>251</v>
      </c>
      <c r="H16" s="206">
        <v>180</v>
      </c>
      <c r="I16" s="114" t="s">
        <v>386</v>
      </c>
      <c r="J16" s="114" t="s">
        <v>36</v>
      </c>
      <c r="K16" s="207">
        <v>45292</v>
      </c>
      <c r="L16" s="114"/>
      <c r="M16" s="115" t="s">
        <v>5632</v>
      </c>
    </row>
    <row r="17" spans="1:13" ht="60">
      <c r="A17" s="114">
        <v>15</v>
      </c>
      <c r="B17" s="114" t="s">
        <v>5652</v>
      </c>
      <c r="C17" s="114" t="s">
        <v>172</v>
      </c>
      <c r="D17" s="114" t="s">
        <v>35</v>
      </c>
      <c r="E17" s="115">
        <v>6</v>
      </c>
      <c r="F17" s="114">
        <v>1</v>
      </c>
      <c r="G17" s="115" t="s">
        <v>251</v>
      </c>
      <c r="H17" s="206">
        <v>60</v>
      </c>
      <c r="I17" s="114" t="s">
        <v>386</v>
      </c>
      <c r="J17" s="114" t="s">
        <v>36</v>
      </c>
      <c r="K17" s="207">
        <v>45292</v>
      </c>
      <c r="L17" s="114"/>
      <c r="M17" s="115" t="s">
        <v>5632</v>
      </c>
    </row>
    <row r="18" spans="1:13" ht="60">
      <c r="A18" s="114">
        <v>16</v>
      </c>
      <c r="B18" s="115" t="s">
        <v>5653</v>
      </c>
      <c r="C18" s="114" t="s">
        <v>172</v>
      </c>
      <c r="D18" s="114" t="s">
        <v>35</v>
      </c>
      <c r="E18" s="115">
        <v>6</v>
      </c>
      <c r="F18" s="114">
        <v>1</v>
      </c>
      <c r="G18" s="115" t="s">
        <v>251</v>
      </c>
      <c r="H18" s="206">
        <v>70</v>
      </c>
      <c r="I18" s="114" t="s">
        <v>386</v>
      </c>
      <c r="J18" s="114" t="s">
        <v>36</v>
      </c>
      <c r="K18" s="207">
        <v>45292</v>
      </c>
      <c r="L18" s="114"/>
      <c r="M18" s="115" t="s">
        <v>5632</v>
      </c>
    </row>
    <row r="19" spans="1:13" ht="60">
      <c r="A19" s="114">
        <v>17</v>
      </c>
      <c r="B19" s="114" t="s">
        <v>5654</v>
      </c>
      <c r="C19" s="114" t="s">
        <v>172</v>
      </c>
      <c r="D19" s="114" t="s">
        <v>35</v>
      </c>
      <c r="E19" s="115">
        <v>10</v>
      </c>
      <c r="F19" s="114" t="s">
        <v>5655</v>
      </c>
      <c r="G19" s="115" t="s">
        <v>251</v>
      </c>
      <c r="H19" s="206">
        <v>250</v>
      </c>
      <c r="I19" s="114" t="s">
        <v>386</v>
      </c>
      <c r="J19" s="114" t="s">
        <v>36</v>
      </c>
      <c r="K19" s="207">
        <v>45292</v>
      </c>
      <c r="L19" s="114"/>
      <c r="M19" s="115" t="s">
        <v>5632</v>
      </c>
    </row>
    <row r="20" spans="1:13" ht="60">
      <c r="A20" s="114">
        <v>18</v>
      </c>
      <c r="B20" s="114" t="s">
        <v>2177</v>
      </c>
      <c r="C20" s="114" t="s">
        <v>172</v>
      </c>
      <c r="D20" s="114" t="s">
        <v>168</v>
      </c>
      <c r="E20" s="115">
        <v>5</v>
      </c>
      <c r="F20" s="114">
        <v>1</v>
      </c>
      <c r="G20" s="115" t="s">
        <v>251</v>
      </c>
      <c r="H20" s="206">
        <v>150</v>
      </c>
      <c r="I20" s="114" t="s">
        <v>386</v>
      </c>
      <c r="J20" s="114" t="s">
        <v>36</v>
      </c>
      <c r="K20" s="207">
        <v>45292</v>
      </c>
      <c r="L20" s="114"/>
      <c r="M20" s="115" t="s">
        <v>5632</v>
      </c>
    </row>
    <row r="21" spans="1:13" ht="60">
      <c r="A21" s="114">
        <v>19</v>
      </c>
      <c r="B21" s="114" t="s">
        <v>5656</v>
      </c>
      <c r="C21" s="114" t="s">
        <v>172</v>
      </c>
      <c r="D21" s="114" t="s">
        <v>35</v>
      </c>
      <c r="E21" s="115">
        <v>5</v>
      </c>
      <c r="F21" s="115" t="s">
        <v>5657</v>
      </c>
      <c r="G21" s="115" t="s">
        <v>251</v>
      </c>
      <c r="H21" s="206">
        <v>100</v>
      </c>
      <c r="I21" s="114" t="s">
        <v>386</v>
      </c>
      <c r="J21" s="114" t="s">
        <v>36</v>
      </c>
      <c r="K21" s="207">
        <v>45292</v>
      </c>
      <c r="L21" s="114"/>
      <c r="M21" s="115" t="s">
        <v>5632</v>
      </c>
    </row>
    <row r="22" spans="1:13" ht="60">
      <c r="A22" s="114">
        <v>20</v>
      </c>
      <c r="B22" s="115" t="s">
        <v>5658</v>
      </c>
      <c r="C22" s="114" t="s">
        <v>172</v>
      </c>
      <c r="D22" s="114" t="s">
        <v>35</v>
      </c>
      <c r="E22" s="115">
        <v>12</v>
      </c>
      <c r="F22" s="114">
        <v>1</v>
      </c>
      <c r="G22" s="115" t="s">
        <v>251</v>
      </c>
      <c r="H22" s="206">
        <v>80</v>
      </c>
      <c r="I22" s="114" t="s">
        <v>386</v>
      </c>
      <c r="J22" s="114" t="s">
        <v>36</v>
      </c>
      <c r="K22" s="207">
        <v>45292</v>
      </c>
      <c r="L22" s="114"/>
      <c r="M22" s="115" t="s">
        <v>5632</v>
      </c>
    </row>
    <row r="23" spans="1:13" ht="60">
      <c r="A23" s="114">
        <v>21</v>
      </c>
      <c r="B23" s="114" t="s">
        <v>5659</v>
      </c>
      <c r="C23" s="114" t="s">
        <v>172</v>
      </c>
      <c r="D23" s="114" t="s">
        <v>168</v>
      </c>
      <c r="E23" s="115">
        <v>8</v>
      </c>
      <c r="F23" s="114">
        <v>1</v>
      </c>
      <c r="G23" s="115" t="s">
        <v>251</v>
      </c>
      <c r="H23" s="206">
        <v>150</v>
      </c>
      <c r="I23" s="114" t="s">
        <v>386</v>
      </c>
      <c r="J23" s="114" t="s">
        <v>36</v>
      </c>
      <c r="K23" s="207">
        <v>45292</v>
      </c>
      <c r="L23" s="114"/>
      <c r="M23" s="115" t="s">
        <v>5632</v>
      </c>
    </row>
    <row r="24" spans="1:13">
      <c r="A24" s="114">
        <v>22</v>
      </c>
      <c r="B24" s="114" t="s">
        <v>5660</v>
      </c>
      <c r="C24" s="114" t="s">
        <v>172</v>
      </c>
      <c r="D24" s="114" t="s">
        <v>168</v>
      </c>
      <c r="E24" s="115">
        <v>10</v>
      </c>
      <c r="F24" s="114">
        <v>1</v>
      </c>
      <c r="G24" s="114" t="s">
        <v>209</v>
      </c>
      <c r="H24" s="206">
        <v>4500</v>
      </c>
      <c r="I24" s="114" t="s">
        <v>386</v>
      </c>
      <c r="J24" s="114" t="s">
        <v>36</v>
      </c>
      <c r="K24" s="207">
        <v>45292</v>
      </c>
      <c r="L24" s="114"/>
      <c r="M24" s="115" t="s">
        <v>5632</v>
      </c>
    </row>
    <row r="25" spans="1:13" ht="60">
      <c r="A25" s="114">
        <v>23</v>
      </c>
      <c r="B25" s="114" t="s">
        <v>5661</v>
      </c>
      <c r="C25" s="114" t="s">
        <v>172</v>
      </c>
      <c r="D25" s="114" t="s">
        <v>35</v>
      </c>
      <c r="E25" s="115">
        <v>24</v>
      </c>
      <c r="F25" s="114">
        <v>1</v>
      </c>
      <c r="G25" s="115" t="s">
        <v>251</v>
      </c>
      <c r="H25" s="206">
        <v>80</v>
      </c>
      <c r="I25" s="114" t="s">
        <v>386</v>
      </c>
      <c r="J25" s="114" t="s">
        <v>169</v>
      </c>
      <c r="K25" s="207">
        <v>45292</v>
      </c>
      <c r="L25" s="114"/>
      <c r="M25" s="115" t="s">
        <v>5632</v>
      </c>
    </row>
    <row r="26" spans="1:13" ht="60">
      <c r="A26" s="114">
        <v>24</v>
      </c>
      <c r="B26" s="114" t="s">
        <v>2332</v>
      </c>
      <c r="C26" s="114" t="s">
        <v>172</v>
      </c>
      <c r="D26" s="114" t="s">
        <v>35</v>
      </c>
      <c r="E26" s="115">
        <v>24</v>
      </c>
      <c r="F26" s="114">
        <v>1</v>
      </c>
      <c r="G26" s="115" t="s">
        <v>251</v>
      </c>
      <c r="H26" s="206">
        <v>80</v>
      </c>
      <c r="I26" s="114" t="s">
        <v>386</v>
      </c>
      <c r="J26" s="114" t="s">
        <v>36</v>
      </c>
      <c r="K26" s="207">
        <v>45292</v>
      </c>
      <c r="L26" s="114"/>
      <c r="M26" s="115" t="s">
        <v>5632</v>
      </c>
    </row>
    <row r="27" spans="1:13">
      <c r="A27" s="114">
        <v>25</v>
      </c>
      <c r="B27" s="114" t="s">
        <v>5662</v>
      </c>
      <c r="C27" s="114" t="s">
        <v>172</v>
      </c>
      <c r="D27" s="114" t="s">
        <v>168</v>
      </c>
      <c r="E27" s="115">
        <v>12</v>
      </c>
      <c r="F27" s="114">
        <v>1</v>
      </c>
      <c r="G27" s="114" t="s">
        <v>227</v>
      </c>
      <c r="H27" s="206">
        <v>720</v>
      </c>
      <c r="I27" s="114" t="s">
        <v>386</v>
      </c>
      <c r="J27" s="114" t="s">
        <v>21</v>
      </c>
      <c r="K27" s="207">
        <v>45292</v>
      </c>
      <c r="L27" s="114"/>
      <c r="M27" s="115" t="s">
        <v>5632</v>
      </c>
    </row>
    <row r="28" spans="1:13" ht="60">
      <c r="A28" s="114">
        <v>26</v>
      </c>
      <c r="B28" s="115" t="s">
        <v>5663</v>
      </c>
      <c r="C28" s="114" t="s">
        <v>172</v>
      </c>
      <c r="D28" s="114" t="s">
        <v>35</v>
      </c>
      <c r="E28" s="115">
        <v>6</v>
      </c>
      <c r="F28" s="115" t="s">
        <v>5664</v>
      </c>
      <c r="G28" s="115" t="s">
        <v>251</v>
      </c>
      <c r="H28" s="206">
        <v>360</v>
      </c>
      <c r="I28" s="114" t="s">
        <v>386</v>
      </c>
      <c r="J28" s="114" t="s">
        <v>36</v>
      </c>
      <c r="K28" s="207">
        <v>45292</v>
      </c>
      <c r="L28" s="114"/>
      <c r="M28" s="115" t="s">
        <v>5632</v>
      </c>
    </row>
    <row r="29" spans="1:13" ht="60">
      <c r="A29" s="114">
        <v>27</v>
      </c>
      <c r="B29" s="114" t="s">
        <v>55</v>
      </c>
      <c r="C29" s="114" t="s">
        <v>172</v>
      </c>
      <c r="D29" s="114" t="s">
        <v>35</v>
      </c>
      <c r="E29" s="115">
        <v>20</v>
      </c>
      <c r="F29" s="114">
        <v>1</v>
      </c>
      <c r="G29" s="115" t="s">
        <v>251</v>
      </c>
      <c r="H29" s="206">
        <v>50</v>
      </c>
      <c r="I29" s="114" t="s">
        <v>386</v>
      </c>
      <c r="J29" s="114" t="s">
        <v>169</v>
      </c>
      <c r="K29" s="207">
        <v>45292</v>
      </c>
      <c r="L29" s="114"/>
      <c r="M29" s="115" t="s">
        <v>5632</v>
      </c>
    </row>
    <row r="30" spans="1:13" ht="60">
      <c r="A30" s="114">
        <v>28</v>
      </c>
      <c r="B30" s="114" t="s">
        <v>5665</v>
      </c>
      <c r="C30" s="114" t="s">
        <v>172</v>
      </c>
      <c r="D30" s="114" t="s">
        <v>168</v>
      </c>
      <c r="E30" s="115">
        <v>2</v>
      </c>
      <c r="F30" s="114">
        <v>1</v>
      </c>
      <c r="G30" s="115" t="s">
        <v>251</v>
      </c>
      <c r="H30" s="206">
        <v>240</v>
      </c>
      <c r="I30" s="114" t="s">
        <v>386</v>
      </c>
      <c r="J30" s="114" t="s">
        <v>36</v>
      </c>
      <c r="K30" s="207">
        <v>45292</v>
      </c>
      <c r="L30" s="114"/>
      <c r="M30" s="115" t="s">
        <v>5632</v>
      </c>
    </row>
    <row r="31" spans="1:13" ht="60">
      <c r="A31" s="114">
        <v>29</v>
      </c>
      <c r="B31" s="115" t="s">
        <v>2338</v>
      </c>
      <c r="C31" s="114" t="s">
        <v>801</v>
      </c>
      <c r="D31" s="114" t="s">
        <v>811</v>
      </c>
      <c r="E31" s="115">
        <v>120</v>
      </c>
      <c r="F31" s="114">
        <v>1</v>
      </c>
      <c r="G31" s="115" t="s">
        <v>251</v>
      </c>
      <c r="H31" s="206">
        <v>100</v>
      </c>
      <c r="I31" s="114" t="s">
        <v>20</v>
      </c>
      <c r="J31" s="114" t="s">
        <v>36</v>
      </c>
      <c r="K31" s="207">
        <v>45292</v>
      </c>
      <c r="L31" s="114"/>
      <c r="M31" s="115" t="s">
        <v>5632</v>
      </c>
    </row>
    <row r="32" spans="1:13" ht="60">
      <c r="A32" s="114">
        <v>30</v>
      </c>
      <c r="B32" s="115" t="s">
        <v>5666</v>
      </c>
      <c r="C32" s="114" t="s">
        <v>801</v>
      </c>
      <c r="D32" s="114" t="s">
        <v>811</v>
      </c>
      <c r="E32" s="115">
        <v>15</v>
      </c>
      <c r="F32" s="115" t="s">
        <v>5667</v>
      </c>
      <c r="G32" s="115" t="s">
        <v>251</v>
      </c>
      <c r="H32" s="206">
        <v>300</v>
      </c>
      <c r="I32" s="114" t="s">
        <v>20</v>
      </c>
      <c r="J32" s="114" t="s">
        <v>36</v>
      </c>
      <c r="K32" s="207">
        <v>45292</v>
      </c>
      <c r="L32" s="114"/>
      <c r="M32" s="115" t="s">
        <v>5632</v>
      </c>
    </row>
    <row r="33" spans="1:13" ht="45">
      <c r="A33" s="114">
        <v>31</v>
      </c>
      <c r="B33" s="114" t="s">
        <v>1327</v>
      </c>
      <c r="C33" s="114" t="s">
        <v>801</v>
      </c>
      <c r="D33" s="114" t="s">
        <v>811</v>
      </c>
      <c r="E33" s="115">
        <v>48</v>
      </c>
      <c r="F33" s="115" t="s">
        <v>5668</v>
      </c>
      <c r="G33" s="115" t="s">
        <v>211</v>
      </c>
      <c r="H33" s="114" t="s">
        <v>5669</v>
      </c>
      <c r="I33" s="114" t="s">
        <v>20</v>
      </c>
      <c r="J33" s="114" t="s">
        <v>169</v>
      </c>
      <c r="K33" s="207">
        <v>45292</v>
      </c>
      <c r="L33" s="114"/>
      <c r="M33" s="115" t="s">
        <v>5632</v>
      </c>
    </row>
    <row r="34" spans="1:13" ht="30">
      <c r="A34" s="114">
        <v>32</v>
      </c>
      <c r="B34" s="114" t="s">
        <v>2448</v>
      </c>
      <c r="C34" s="114" t="s">
        <v>801</v>
      </c>
      <c r="D34" s="114" t="s">
        <v>811</v>
      </c>
      <c r="E34" s="115">
        <v>48</v>
      </c>
      <c r="F34" s="37" t="s">
        <v>5670</v>
      </c>
      <c r="G34" s="114" t="s">
        <v>249</v>
      </c>
      <c r="H34" s="206">
        <v>1000</v>
      </c>
      <c r="I34" s="114" t="s">
        <v>20</v>
      </c>
      <c r="J34" s="114" t="s">
        <v>169</v>
      </c>
      <c r="K34" s="207">
        <v>45292</v>
      </c>
      <c r="L34" s="114"/>
      <c r="M34" s="115" t="s">
        <v>5632</v>
      </c>
    </row>
    <row r="35" spans="1:13" ht="30">
      <c r="A35" s="114">
        <v>33</v>
      </c>
      <c r="B35" s="114" t="s">
        <v>2453</v>
      </c>
      <c r="C35" s="114" t="s">
        <v>801</v>
      </c>
      <c r="D35" s="114" t="s">
        <v>811</v>
      </c>
      <c r="E35" s="115">
        <v>48</v>
      </c>
      <c r="F35" s="37" t="s">
        <v>5671</v>
      </c>
      <c r="G35" s="114" t="s">
        <v>249</v>
      </c>
      <c r="H35" s="206">
        <v>300</v>
      </c>
      <c r="I35" s="114" t="s">
        <v>20</v>
      </c>
      <c r="J35" s="114" t="s">
        <v>169</v>
      </c>
      <c r="K35" s="207">
        <v>45292</v>
      </c>
      <c r="L35" s="114"/>
      <c r="M35" s="115" t="s">
        <v>5632</v>
      </c>
    </row>
    <row r="36" spans="1:13">
      <c r="A36" s="114">
        <v>34</v>
      </c>
      <c r="B36" s="114" t="s">
        <v>2726</v>
      </c>
      <c r="C36" s="114" t="s">
        <v>801</v>
      </c>
      <c r="D36" s="114" t="s">
        <v>811</v>
      </c>
      <c r="E36" s="115">
        <v>36</v>
      </c>
      <c r="F36" s="114">
        <v>1</v>
      </c>
      <c r="G36" s="114" t="s">
        <v>249</v>
      </c>
      <c r="H36" s="206">
        <v>72</v>
      </c>
      <c r="I36" s="114" t="s">
        <v>20</v>
      </c>
      <c r="J36" s="114" t="s">
        <v>169</v>
      </c>
      <c r="K36" s="207">
        <v>45292</v>
      </c>
      <c r="L36" s="114"/>
      <c r="M36" s="115" t="s">
        <v>5632</v>
      </c>
    </row>
    <row r="37" spans="1:13">
      <c r="A37" s="114">
        <v>35</v>
      </c>
      <c r="B37" s="114" t="s">
        <v>64</v>
      </c>
      <c r="C37" s="114" t="s">
        <v>801</v>
      </c>
      <c r="D37" s="114" t="s">
        <v>811</v>
      </c>
      <c r="E37" s="115">
        <v>24</v>
      </c>
      <c r="F37" s="114">
        <v>1</v>
      </c>
      <c r="G37" s="114" t="s">
        <v>249</v>
      </c>
      <c r="H37" s="206">
        <v>86</v>
      </c>
      <c r="I37" s="114" t="s">
        <v>20</v>
      </c>
      <c r="J37" s="114" t="s">
        <v>36</v>
      </c>
      <c r="K37" s="207">
        <v>45292</v>
      </c>
      <c r="L37" s="114"/>
      <c r="M37" s="115" t="s">
        <v>5632</v>
      </c>
    </row>
    <row r="38" spans="1:13">
      <c r="A38" s="114">
        <v>36</v>
      </c>
      <c r="B38" s="114" t="s">
        <v>2461</v>
      </c>
      <c r="C38" s="114" t="s">
        <v>801</v>
      </c>
      <c r="D38" s="114" t="s">
        <v>811</v>
      </c>
      <c r="E38" s="115">
        <v>16</v>
      </c>
      <c r="F38" s="114">
        <v>1</v>
      </c>
      <c r="G38" s="114" t="s">
        <v>249</v>
      </c>
      <c r="H38" s="206">
        <v>320</v>
      </c>
      <c r="I38" s="114" t="s">
        <v>20</v>
      </c>
      <c r="J38" s="114" t="s">
        <v>169</v>
      </c>
      <c r="K38" s="207">
        <v>45292</v>
      </c>
      <c r="L38" s="114"/>
      <c r="M38" s="115" t="s">
        <v>5632</v>
      </c>
    </row>
    <row r="39" spans="1:13">
      <c r="A39" s="114">
        <v>37</v>
      </c>
      <c r="B39" s="114" t="s">
        <v>5672</v>
      </c>
      <c r="C39" s="114" t="s">
        <v>801</v>
      </c>
      <c r="D39" s="114" t="s">
        <v>811</v>
      </c>
      <c r="E39" s="115">
        <v>16</v>
      </c>
      <c r="F39" s="114">
        <v>1</v>
      </c>
      <c r="G39" s="114" t="s">
        <v>249</v>
      </c>
      <c r="H39" s="206">
        <v>320</v>
      </c>
      <c r="I39" s="114" t="s">
        <v>20</v>
      </c>
      <c r="J39" s="114" t="s">
        <v>169</v>
      </c>
      <c r="K39" s="207">
        <v>45292</v>
      </c>
      <c r="L39" s="114"/>
      <c r="M39" s="115" t="s">
        <v>5632</v>
      </c>
    </row>
    <row r="40" spans="1:13">
      <c r="A40" s="114">
        <v>38</v>
      </c>
      <c r="B40" s="114" t="s">
        <v>5673</v>
      </c>
      <c r="C40" s="114" t="s">
        <v>801</v>
      </c>
      <c r="D40" s="114" t="s">
        <v>811</v>
      </c>
      <c r="E40" s="115">
        <v>16</v>
      </c>
      <c r="F40" s="114">
        <v>1</v>
      </c>
      <c r="G40" s="114" t="s">
        <v>249</v>
      </c>
      <c r="H40" s="206">
        <v>115</v>
      </c>
      <c r="I40" s="114" t="s">
        <v>20</v>
      </c>
      <c r="J40" s="114" t="s">
        <v>36</v>
      </c>
      <c r="K40" s="207">
        <v>45292</v>
      </c>
      <c r="L40" s="114"/>
      <c r="M40" s="115" t="s">
        <v>5632</v>
      </c>
    </row>
    <row r="41" spans="1:13">
      <c r="A41" s="114">
        <v>39</v>
      </c>
      <c r="B41" s="114" t="s">
        <v>5674</v>
      </c>
      <c r="C41" s="114" t="s">
        <v>801</v>
      </c>
      <c r="D41" s="114" t="s">
        <v>811</v>
      </c>
      <c r="E41" s="115">
        <v>24</v>
      </c>
      <c r="F41" s="114">
        <v>1</v>
      </c>
      <c r="G41" s="114" t="s">
        <v>249</v>
      </c>
      <c r="H41" s="206">
        <v>80</v>
      </c>
      <c r="I41" s="114" t="s">
        <v>20</v>
      </c>
      <c r="J41" s="114" t="s">
        <v>36</v>
      </c>
      <c r="K41" s="207">
        <v>45292</v>
      </c>
      <c r="L41" s="114"/>
      <c r="M41" s="115" t="s">
        <v>5632</v>
      </c>
    </row>
    <row r="42" spans="1:13">
      <c r="A42" s="114">
        <v>40</v>
      </c>
      <c r="B42" s="114" t="s">
        <v>5675</v>
      </c>
      <c r="C42" s="114" t="s">
        <v>801</v>
      </c>
      <c r="D42" s="114" t="s">
        <v>811</v>
      </c>
      <c r="E42" s="115">
        <v>24</v>
      </c>
      <c r="F42" s="114">
        <v>1</v>
      </c>
      <c r="G42" s="114" t="s">
        <v>249</v>
      </c>
      <c r="H42" s="206">
        <v>100</v>
      </c>
      <c r="I42" s="114" t="s">
        <v>20</v>
      </c>
      <c r="J42" s="114" t="s">
        <v>169</v>
      </c>
      <c r="K42" s="207">
        <v>45292</v>
      </c>
      <c r="L42" s="114"/>
      <c r="M42" s="115" t="s">
        <v>5632</v>
      </c>
    </row>
    <row r="43" spans="1:13">
      <c r="A43" s="114">
        <v>41</v>
      </c>
      <c r="B43" s="115" t="s">
        <v>5676</v>
      </c>
      <c r="C43" s="114" t="s">
        <v>801</v>
      </c>
      <c r="D43" s="114" t="s">
        <v>811</v>
      </c>
      <c r="E43" s="115">
        <v>24</v>
      </c>
      <c r="F43" s="114">
        <v>1</v>
      </c>
      <c r="G43" s="114" t="s">
        <v>249</v>
      </c>
      <c r="H43" s="206">
        <v>80</v>
      </c>
      <c r="I43" s="114" t="s">
        <v>20</v>
      </c>
      <c r="J43" s="114" t="s">
        <v>36</v>
      </c>
      <c r="K43" s="207">
        <v>45292</v>
      </c>
      <c r="L43" s="114"/>
      <c r="M43" s="115" t="s">
        <v>5632</v>
      </c>
    </row>
    <row r="44" spans="1:13" ht="60">
      <c r="A44" s="114">
        <v>42</v>
      </c>
      <c r="B44" s="115" t="s">
        <v>5677</v>
      </c>
      <c r="C44" s="114" t="s">
        <v>801</v>
      </c>
      <c r="D44" s="114" t="s">
        <v>811</v>
      </c>
      <c r="E44" s="115">
        <v>5</v>
      </c>
      <c r="F44" s="114">
        <v>1</v>
      </c>
      <c r="G44" s="115" t="s">
        <v>5678</v>
      </c>
      <c r="H44" s="206">
        <v>2000</v>
      </c>
      <c r="I44" s="114" t="s">
        <v>20</v>
      </c>
      <c r="J44" s="114" t="s">
        <v>36</v>
      </c>
      <c r="K44" s="207">
        <v>45292</v>
      </c>
      <c r="L44" s="114"/>
      <c r="M44" s="115" t="s">
        <v>5632</v>
      </c>
    </row>
    <row r="45" spans="1:13" ht="45">
      <c r="A45" s="114">
        <v>43</v>
      </c>
      <c r="B45" s="115" t="s">
        <v>5679</v>
      </c>
      <c r="C45" s="114" t="s">
        <v>801</v>
      </c>
      <c r="D45" s="114" t="s">
        <v>811</v>
      </c>
      <c r="E45" s="115">
        <v>20</v>
      </c>
      <c r="F45" s="115" t="s">
        <v>5680</v>
      </c>
      <c r="G45" s="114" t="s">
        <v>249</v>
      </c>
      <c r="H45" s="206">
        <v>800</v>
      </c>
      <c r="I45" s="114" t="s">
        <v>20</v>
      </c>
      <c r="J45" s="114" t="s">
        <v>169</v>
      </c>
      <c r="K45" s="207">
        <v>45292</v>
      </c>
      <c r="L45" s="114"/>
      <c r="M45" s="115" t="s">
        <v>5632</v>
      </c>
    </row>
    <row r="46" spans="1:13">
      <c r="A46" s="114">
        <v>44</v>
      </c>
      <c r="B46" s="115" t="s">
        <v>1331</v>
      </c>
      <c r="C46" s="114" t="s">
        <v>801</v>
      </c>
      <c r="D46" s="114" t="s">
        <v>811</v>
      </c>
      <c r="E46" s="115">
        <v>100</v>
      </c>
      <c r="F46" s="114">
        <v>1</v>
      </c>
      <c r="G46" s="114" t="s">
        <v>249</v>
      </c>
      <c r="H46" s="114" t="s">
        <v>5681</v>
      </c>
      <c r="I46" s="114" t="s">
        <v>20</v>
      </c>
      <c r="J46" s="114" t="s">
        <v>36</v>
      </c>
      <c r="K46" s="207">
        <v>45292</v>
      </c>
      <c r="L46" s="114"/>
      <c r="M46" s="115" t="s">
        <v>5632</v>
      </c>
    </row>
    <row r="47" spans="1:13" ht="30">
      <c r="A47" s="114">
        <v>45</v>
      </c>
      <c r="B47" s="115" t="s">
        <v>5682</v>
      </c>
      <c r="C47" s="114" t="s">
        <v>801</v>
      </c>
      <c r="D47" s="114" t="s">
        <v>811</v>
      </c>
      <c r="E47" s="115">
        <v>20</v>
      </c>
      <c r="F47" s="114">
        <v>1</v>
      </c>
      <c r="G47" s="114" t="s">
        <v>249</v>
      </c>
      <c r="H47" s="206">
        <v>320</v>
      </c>
      <c r="I47" s="114" t="s">
        <v>20</v>
      </c>
      <c r="J47" s="114" t="s">
        <v>36</v>
      </c>
      <c r="K47" s="207">
        <v>45292</v>
      </c>
      <c r="L47" s="114"/>
      <c r="M47" s="115" t="s">
        <v>5632</v>
      </c>
    </row>
    <row r="48" spans="1:13">
      <c r="A48" s="114">
        <v>46</v>
      </c>
      <c r="B48" s="114" t="s">
        <v>2444</v>
      </c>
      <c r="C48" s="114" t="s">
        <v>801</v>
      </c>
      <c r="D48" s="114" t="s">
        <v>811</v>
      </c>
      <c r="E48" s="115">
        <v>150</v>
      </c>
      <c r="F48" s="114">
        <v>1</v>
      </c>
      <c r="G48" s="114" t="s">
        <v>249</v>
      </c>
      <c r="H48" s="206">
        <v>300</v>
      </c>
      <c r="I48" s="114" t="s">
        <v>20</v>
      </c>
      <c r="J48" s="114" t="s">
        <v>21</v>
      </c>
      <c r="K48" s="207">
        <v>45292</v>
      </c>
      <c r="L48" s="114"/>
      <c r="M48" s="115" t="s">
        <v>5632</v>
      </c>
    </row>
    <row r="49" spans="1:13">
      <c r="A49" s="114">
        <v>47</v>
      </c>
      <c r="B49" s="114" t="s">
        <v>5683</v>
      </c>
      <c r="C49" s="114" t="s">
        <v>801</v>
      </c>
      <c r="D49" s="114" t="s">
        <v>811</v>
      </c>
      <c r="E49" s="115">
        <v>10</v>
      </c>
      <c r="F49" s="114">
        <v>1</v>
      </c>
      <c r="G49" s="114" t="s">
        <v>249</v>
      </c>
      <c r="H49" s="206">
        <v>200</v>
      </c>
      <c r="I49" s="114" t="s">
        <v>20</v>
      </c>
      <c r="J49" s="114" t="s">
        <v>36</v>
      </c>
      <c r="K49" s="207">
        <v>45292</v>
      </c>
      <c r="L49" s="114"/>
      <c r="M49" s="115" t="s">
        <v>5632</v>
      </c>
    </row>
    <row r="50" spans="1:13">
      <c r="A50" s="114">
        <v>48</v>
      </c>
      <c r="B50" s="114" t="s">
        <v>5684</v>
      </c>
      <c r="C50" s="114" t="s">
        <v>801</v>
      </c>
      <c r="D50" s="114" t="s">
        <v>811</v>
      </c>
      <c r="E50" s="115">
        <v>10</v>
      </c>
      <c r="F50" s="114">
        <v>1</v>
      </c>
      <c r="G50" s="114" t="s">
        <v>249</v>
      </c>
      <c r="H50" s="206">
        <v>100</v>
      </c>
      <c r="I50" s="114" t="s">
        <v>20</v>
      </c>
      <c r="J50" s="114" t="s">
        <v>36</v>
      </c>
      <c r="K50" s="207">
        <v>45292</v>
      </c>
      <c r="L50" s="114"/>
      <c r="M50" s="115" t="s">
        <v>5632</v>
      </c>
    </row>
    <row r="51" spans="1:13">
      <c r="A51" s="114">
        <v>49</v>
      </c>
      <c r="B51" s="114" t="s">
        <v>625</v>
      </c>
      <c r="C51" s="114" t="s">
        <v>801</v>
      </c>
      <c r="D51" s="114" t="s">
        <v>811</v>
      </c>
      <c r="E51" s="115">
        <v>10</v>
      </c>
      <c r="F51" s="114">
        <v>1</v>
      </c>
      <c r="G51" s="114" t="s">
        <v>249</v>
      </c>
      <c r="H51" s="206">
        <v>150</v>
      </c>
      <c r="I51" s="114" t="s">
        <v>20</v>
      </c>
      <c r="J51" s="114" t="s">
        <v>36</v>
      </c>
      <c r="K51" s="207">
        <v>45292</v>
      </c>
      <c r="L51" s="114"/>
      <c r="M51" s="115" t="s">
        <v>5632</v>
      </c>
    </row>
    <row r="52" spans="1:13" ht="30">
      <c r="A52" s="114">
        <v>50</v>
      </c>
      <c r="B52" s="115" t="s">
        <v>5685</v>
      </c>
      <c r="C52" s="114" t="s">
        <v>801</v>
      </c>
      <c r="D52" s="114" t="s">
        <v>811</v>
      </c>
      <c r="E52" s="115">
        <v>10</v>
      </c>
      <c r="F52" s="114" t="s">
        <v>5686</v>
      </c>
      <c r="G52" s="114" t="s">
        <v>249</v>
      </c>
      <c r="H52" s="206">
        <v>100</v>
      </c>
      <c r="I52" s="114" t="s">
        <v>20</v>
      </c>
      <c r="J52" s="114" t="s">
        <v>36</v>
      </c>
      <c r="K52" s="207">
        <v>45292</v>
      </c>
      <c r="L52" s="114"/>
      <c r="M52" s="115" t="s">
        <v>5632</v>
      </c>
    </row>
    <row r="53" spans="1:13" ht="30">
      <c r="A53" s="114">
        <v>51</v>
      </c>
      <c r="B53" s="115" t="s">
        <v>5687</v>
      </c>
      <c r="C53" s="114" t="s">
        <v>801</v>
      </c>
      <c r="D53" s="114" t="s">
        <v>811</v>
      </c>
      <c r="E53" s="115">
        <v>10</v>
      </c>
      <c r="F53" s="114" t="s">
        <v>5686</v>
      </c>
      <c r="G53" s="114" t="s">
        <v>249</v>
      </c>
      <c r="H53" s="206">
        <v>400</v>
      </c>
      <c r="I53" s="114" t="s">
        <v>20</v>
      </c>
      <c r="J53" s="114" t="s">
        <v>36</v>
      </c>
      <c r="K53" s="207">
        <v>45292</v>
      </c>
      <c r="L53" s="114"/>
      <c r="M53" s="115" t="s">
        <v>5632</v>
      </c>
    </row>
    <row r="54" spans="1:13">
      <c r="A54" s="114">
        <v>52</v>
      </c>
      <c r="B54" s="115" t="s">
        <v>5688</v>
      </c>
      <c r="C54" s="114" t="s">
        <v>801</v>
      </c>
      <c r="D54" s="114" t="s">
        <v>2118</v>
      </c>
      <c r="E54" s="115">
        <v>5</v>
      </c>
      <c r="F54" s="114">
        <v>1</v>
      </c>
      <c r="G54" s="114" t="s">
        <v>209</v>
      </c>
      <c r="H54" s="206">
        <v>4000</v>
      </c>
      <c r="I54" s="114" t="s">
        <v>20</v>
      </c>
      <c r="J54" s="114" t="s">
        <v>36</v>
      </c>
      <c r="K54" s="207">
        <v>45292</v>
      </c>
      <c r="L54" s="114"/>
      <c r="M54" s="115" t="s">
        <v>5632</v>
      </c>
    </row>
    <row r="55" spans="1:13" ht="30">
      <c r="A55" s="114">
        <v>53</v>
      </c>
      <c r="B55" s="115" t="s">
        <v>188</v>
      </c>
      <c r="C55" s="114" t="s">
        <v>801</v>
      </c>
      <c r="D55" s="114" t="s">
        <v>2118</v>
      </c>
      <c r="E55" s="115">
        <v>5</v>
      </c>
      <c r="F55" s="114">
        <v>1</v>
      </c>
      <c r="G55" s="114" t="s">
        <v>5689</v>
      </c>
      <c r="H55" s="206">
        <v>1000</v>
      </c>
      <c r="I55" s="114" t="s">
        <v>20</v>
      </c>
      <c r="J55" s="114" t="s">
        <v>36</v>
      </c>
      <c r="K55" s="207">
        <v>45292</v>
      </c>
      <c r="L55" s="114"/>
      <c r="M55" s="115" t="s">
        <v>5632</v>
      </c>
    </row>
    <row r="56" spans="1:13">
      <c r="A56" s="114">
        <v>54</v>
      </c>
      <c r="B56" s="114" t="s">
        <v>2393</v>
      </c>
      <c r="C56" s="114" t="s">
        <v>801</v>
      </c>
      <c r="D56" s="114" t="s">
        <v>2118</v>
      </c>
      <c r="E56" s="115">
        <v>6</v>
      </c>
      <c r="F56" s="114">
        <v>1</v>
      </c>
      <c r="G56" s="114" t="s">
        <v>227</v>
      </c>
      <c r="H56" s="208">
        <v>18000</v>
      </c>
      <c r="I56" s="114" t="s">
        <v>20</v>
      </c>
      <c r="J56" s="114" t="s">
        <v>169</v>
      </c>
      <c r="K56" s="207">
        <v>45292</v>
      </c>
      <c r="L56" s="114"/>
      <c r="M56" s="115" t="s">
        <v>5632</v>
      </c>
    </row>
    <row r="57" spans="1:13">
      <c r="A57" s="114">
        <v>55</v>
      </c>
      <c r="B57" s="115" t="s">
        <v>5690</v>
      </c>
      <c r="C57" s="114" t="s">
        <v>34</v>
      </c>
      <c r="D57" s="114" t="s">
        <v>168</v>
      </c>
      <c r="E57" s="115">
        <v>5</v>
      </c>
      <c r="F57" s="115">
        <v>1</v>
      </c>
      <c r="G57" s="114" t="s">
        <v>5689</v>
      </c>
      <c r="H57" s="206">
        <v>1000</v>
      </c>
      <c r="I57" s="114" t="s">
        <v>20</v>
      </c>
      <c r="J57" s="114" t="s">
        <v>36</v>
      </c>
      <c r="K57" s="207">
        <v>45292</v>
      </c>
      <c r="L57" s="114"/>
      <c r="M57" s="115" t="s">
        <v>5632</v>
      </c>
    </row>
    <row r="58" spans="1:13">
      <c r="A58" s="114">
        <v>56</v>
      </c>
      <c r="B58" s="115" t="s">
        <v>825</v>
      </c>
      <c r="C58" s="114" t="s">
        <v>34</v>
      </c>
      <c r="D58" s="114" t="s">
        <v>168</v>
      </c>
      <c r="E58" s="115">
        <v>5</v>
      </c>
      <c r="F58" s="115">
        <v>1</v>
      </c>
      <c r="G58" s="114" t="s">
        <v>5689</v>
      </c>
      <c r="H58" s="208">
        <v>6000</v>
      </c>
      <c r="I58" s="114" t="s">
        <v>420</v>
      </c>
      <c r="J58" s="114" t="s">
        <v>36</v>
      </c>
      <c r="K58" s="207">
        <v>45292</v>
      </c>
      <c r="L58" s="114"/>
      <c r="M58" s="115" t="s">
        <v>5632</v>
      </c>
    </row>
    <row r="59" spans="1:13" ht="90">
      <c r="A59" s="114">
        <v>57</v>
      </c>
      <c r="B59" s="115" t="s">
        <v>5691</v>
      </c>
      <c r="C59" s="114" t="s">
        <v>34</v>
      </c>
      <c r="D59" s="114" t="s">
        <v>35</v>
      </c>
      <c r="E59" s="115">
        <v>100</v>
      </c>
      <c r="F59" s="115" t="s">
        <v>5692</v>
      </c>
      <c r="G59" s="115" t="s">
        <v>211</v>
      </c>
      <c r="H59" s="209">
        <v>30000</v>
      </c>
      <c r="I59" s="114" t="s">
        <v>420</v>
      </c>
      <c r="J59" s="114" t="s">
        <v>169</v>
      </c>
      <c r="K59" s="207">
        <v>45292</v>
      </c>
      <c r="L59" s="114"/>
      <c r="M59" s="115" t="s">
        <v>5632</v>
      </c>
    </row>
    <row r="60" spans="1:13" ht="45">
      <c r="A60" s="114">
        <v>58</v>
      </c>
      <c r="B60" s="115" t="s">
        <v>5693</v>
      </c>
      <c r="C60" s="114" t="s">
        <v>34</v>
      </c>
      <c r="D60" s="114" t="s">
        <v>35</v>
      </c>
      <c r="E60" s="115">
        <v>9</v>
      </c>
      <c r="F60" s="114">
        <v>3</v>
      </c>
      <c r="G60" s="115" t="s">
        <v>211</v>
      </c>
      <c r="H60" s="208">
        <v>2000</v>
      </c>
      <c r="I60" s="114" t="s">
        <v>420</v>
      </c>
      <c r="J60" s="114" t="s">
        <v>36</v>
      </c>
      <c r="K60" s="207">
        <v>45292</v>
      </c>
      <c r="L60" s="114"/>
      <c r="M60" s="115" t="s">
        <v>5632</v>
      </c>
    </row>
    <row r="61" spans="1:13" ht="60">
      <c r="A61" s="114">
        <v>59</v>
      </c>
      <c r="B61" s="115" t="s">
        <v>5694</v>
      </c>
      <c r="C61" s="114" t="s">
        <v>25</v>
      </c>
      <c r="D61" s="114" t="s">
        <v>17</v>
      </c>
      <c r="E61" s="210">
        <v>9125</v>
      </c>
      <c r="F61" s="115" t="s">
        <v>5695</v>
      </c>
      <c r="G61" s="114" t="s">
        <v>5631</v>
      </c>
      <c r="H61" s="211">
        <v>119537.5</v>
      </c>
      <c r="I61" s="114" t="s">
        <v>38</v>
      </c>
      <c r="J61" s="114" t="s">
        <v>415</v>
      </c>
      <c r="K61" s="115" t="s">
        <v>5696</v>
      </c>
      <c r="L61" s="115" t="s">
        <v>5697</v>
      </c>
      <c r="M61" s="115" t="s">
        <v>5632</v>
      </c>
    </row>
    <row r="62" spans="1:13" ht="60">
      <c r="A62" s="114">
        <v>60</v>
      </c>
      <c r="B62" s="115" t="s">
        <v>5698</v>
      </c>
      <c r="C62" s="114" t="s">
        <v>25</v>
      </c>
      <c r="D62" s="114" t="s">
        <v>17</v>
      </c>
      <c r="E62" s="210">
        <v>9125</v>
      </c>
      <c r="F62" s="115" t="s">
        <v>5695</v>
      </c>
      <c r="G62" s="114" t="s">
        <v>5631</v>
      </c>
      <c r="H62" s="208">
        <v>17337.5</v>
      </c>
      <c r="I62" s="114" t="s">
        <v>38</v>
      </c>
      <c r="J62" s="114" t="s">
        <v>415</v>
      </c>
      <c r="K62" s="115" t="s">
        <v>5696</v>
      </c>
      <c r="L62" s="115" t="s">
        <v>5697</v>
      </c>
      <c r="M62" s="115" t="s">
        <v>5632</v>
      </c>
    </row>
    <row r="63" spans="1:13" ht="60">
      <c r="A63" s="114">
        <v>61</v>
      </c>
      <c r="B63" s="115" t="s">
        <v>5699</v>
      </c>
      <c r="C63" s="114" t="s">
        <v>25</v>
      </c>
      <c r="D63" s="114" t="s">
        <v>17</v>
      </c>
      <c r="E63" s="210">
        <v>9125</v>
      </c>
      <c r="F63" s="115" t="s">
        <v>5695</v>
      </c>
      <c r="G63" s="114" t="s">
        <v>5631</v>
      </c>
      <c r="H63" s="208">
        <v>15877.5</v>
      </c>
      <c r="I63" s="114" t="s">
        <v>38</v>
      </c>
      <c r="J63" s="114" t="s">
        <v>415</v>
      </c>
      <c r="K63" s="115" t="s">
        <v>5696</v>
      </c>
      <c r="L63" s="115" t="s">
        <v>5697</v>
      </c>
      <c r="M63" s="115" t="s">
        <v>5632</v>
      </c>
    </row>
    <row r="64" spans="1:13">
      <c r="A64" s="114">
        <v>62</v>
      </c>
      <c r="B64" s="115" t="s">
        <v>5700</v>
      </c>
      <c r="C64" s="114" t="s">
        <v>34</v>
      </c>
      <c r="D64" s="114" t="s">
        <v>35</v>
      </c>
      <c r="E64" s="210">
        <v>3</v>
      </c>
      <c r="F64" s="115">
        <v>1</v>
      </c>
      <c r="G64" s="114" t="s">
        <v>206</v>
      </c>
      <c r="H64" s="208">
        <v>1200</v>
      </c>
      <c r="I64" s="114" t="s">
        <v>38</v>
      </c>
      <c r="J64" s="114" t="s">
        <v>169</v>
      </c>
      <c r="K64" s="115"/>
      <c r="L64" s="115"/>
      <c r="M64" s="115" t="s">
        <v>5632</v>
      </c>
    </row>
    <row r="65" spans="1:13" ht="60">
      <c r="A65" s="114">
        <v>62</v>
      </c>
      <c r="B65" s="115" t="s">
        <v>5701</v>
      </c>
      <c r="C65" s="114" t="s">
        <v>25</v>
      </c>
      <c r="D65" s="114" t="s">
        <v>17</v>
      </c>
      <c r="E65" s="210">
        <v>5475</v>
      </c>
      <c r="F65" s="115" t="s">
        <v>5702</v>
      </c>
      <c r="G65" s="114" t="s">
        <v>5631</v>
      </c>
      <c r="H65" s="208">
        <v>29072.25</v>
      </c>
      <c r="I65" s="114" t="s">
        <v>38</v>
      </c>
      <c r="J65" s="114" t="s">
        <v>415</v>
      </c>
      <c r="K65" s="115" t="s">
        <v>5703</v>
      </c>
      <c r="L65" s="115" t="s">
        <v>5704</v>
      </c>
      <c r="M65" s="115" t="s">
        <v>5632</v>
      </c>
    </row>
    <row r="66" spans="1:13" ht="60">
      <c r="A66" s="114">
        <v>63</v>
      </c>
      <c r="B66" s="115" t="s">
        <v>5705</v>
      </c>
      <c r="C66" s="114" t="s">
        <v>25</v>
      </c>
      <c r="D66" s="114" t="s">
        <v>17</v>
      </c>
      <c r="E66" s="210">
        <v>5475</v>
      </c>
      <c r="F66" s="115" t="s">
        <v>5706</v>
      </c>
      <c r="G66" s="114" t="s">
        <v>5631</v>
      </c>
      <c r="H66" s="208">
        <v>28798.5</v>
      </c>
      <c r="I66" s="114" t="s">
        <v>38</v>
      </c>
      <c r="J66" s="114" t="s">
        <v>415</v>
      </c>
      <c r="K66" s="115" t="s">
        <v>5703</v>
      </c>
      <c r="L66" s="115" t="s">
        <v>5704</v>
      </c>
      <c r="M66" s="115" t="s">
        <v>5632</v>
      </c>
    </row>
    <row r="67" spans="1:13" ht="45">
      <c r="A67" s="114">
        <v>64</v>
      </c>
      <c r="B67" s="115" t="s">
        <v>5707</v>
      </c>
      <c r="C67" s="114" t="s">
        <v>25</v>
      </c>
      <c r="D67" s="114" t="s">
        <v>17</v>
      </c>
      <c r="E67" s="115">
        <v>12</v>
      </c>
      <c r="F67" s="115" t="s">
        <v>5708</v>
      </c>
      <c r="G67" s="114" t="s">
        <v>419</v>
      </c>
      <c r="H67" s="208">
        <v>60000</v>
      </c>
      <c r="I67" s="114" t="s">
        <v>38</v>
      </c>
      <c r="J67" s="114" t="s">
        <v>415</v>
      </c>
      <c r="K67" s="115" t="s">
        <v>5709</v>
      </c>
      <c r="L67" s="115" t="s">
        <v>5710</v>
      </c>
      <c r="M67" s="115" t="s">
        <v>5632</v>
      </c>
    </row>
    <row r="68" spans="1:13" ht="30">
      <c r="A68" s="114">
        <v>65</v>
      </c>
      <c r="B68" s="115" t="s">
        <v>5711</v>
      </c>
      <c r="C68" s="114" t="s">
        <v>34</v>
      </c>
      <c r="D68" s="114" t="s">
        <v>168</v>
      </c>
      <c r="E68" s="115">
        <v>3</v>
      </c>
      <c r="F68" s="115">
        <v>1</v>
      </c>
      <c r="G68" s="114" t="s">
        <v>5689</v>
      </c>
      <c r="H68" s="206">
        <v>1500</v>
      </c>
      <c r="I68" s="114" t="s">
        <v>20</v>
      </c>
      <c r="J68" s="114" t="s">
        <v>415</v>
      </c>
      <c r="K68" s="207">
        <v>45292</v>
      </c>
      <c r="L68" s="114"/>
      <c r="M68" s="115" t="s">
        <v>5632</v>
      </c>
    </row>
    <row r="69" spans="1:13" ht="90">
      <c r="A69" s="114">
        <v>66</v>
      </c>
      <c r="B69" s="115" t="s">
        <v>5712</v>
      </c>
      <c r="C69" s="114" t="s">
        <v>25</v>
      </c>
      <c r="D69" s="114" t="s">
        <v>17</v>
      </c>
      <c r="E69" s="114">
        <v>12</v>
      </c>
      <c r="F69" s="115" t="s">
        <v>5713</v>
      </c>
      <c r="G69" s="114" t="s">
        <v>389</v>
      </c>
      <c r="H69" s="208">
        <v>1015000</v>
      </c>
      <c r="I69" s="114" t="s">
        <v>20</v>
      </c>
      <c r="J69" s="114" t="s">
        <v>415</v>
      </c>
      <c r="K69" s="37" t="s">
        <v>5714</v>
      </c>
      <c r="L69" s="37" t="s">
        <v>5715</v>
      </c>
      <c r="M69" s="115" t="s">
        <v>5632</v>
      </c>
    </row>
    <row r="70" spans="1:13" ht="90">
      <c r="A70" s="114">
        <v>67</v>
      </c>
      <c r="B70" s="115" t="s">
        <v>5716</v>
      </c>
      <c r="C70" s="114" t="s">
        <v>25</v>
      </c>
      <c r="D70" s="114" t="s">
        <v>17</v>
      </c>
      <c r="E70" s="114">
        <v>12</v>
      </c>
      <c r="F70" s="115" t="s">
        <v>5713</v>
      </c>
      <c r="G70" s="114" t="s">
        <v>389</v>
      </c>
      <c r="H70" s="208">
        <v>20000</v>
      </c>
      <c r="I70" s="115" t="s">
        <v>20</v>
      </c>
      <c r="J70" s="114" t="s">
        <v>415</v>
      </c>
      <c r="K70" s="115" t="s">
        <v>5717</v>
      </c>
      <c r="L70" s="115" t="s">
        <v>5718</v>
      </c>
      <c r="M70" s="115" t="s">
        <v>5632</v>
      </c>
    </row>
    <row r="71" spans="1:13" ht="150">
      <c r="A71" s="114">
        <v>68</v>
      </c>
      <c r="B71" s="115" t="s">
        <v>5719</v>
      </c>
      <c r="C71" s="114" t="s">
        <v>25</v>
      </c>
      <c r="D71" s="114" t="s">
        <v>17</v>
      </c>
      <c r="E71" s="115">
        <v>12</v>
      </c>
      <c r="F71" s="115" t="s">
        <v>5720</v>
      </c>
      <c r="G71" s="114" t="s">
        <v>5721</v>
      </c>
      <c r="H71" s="208">
        <v>2500</v>
      </c>
      <c r="I71" s="115" t="s">
        <v>20</v>
      </c>
      <c r="J71" s="114" t="s">
        <v>415</v>
      </c>
      <c r="K71" s="115" t="s">
        <v>5722</v>
      </c>
      <c r="L71" s="115" t="s">
        <v>5723</v>
      </c>
      <c r="M71" s="115" t="s">
        <v>5632</v>
      </c>
    </row>
    <row r="72" spans="1:13">
      <c r="A72" s="114">
        <v>69</v>
      </c>
      <c r="B72" s="115" t="s">
        <v>5724</v>
      </c>
      <c r="C72" s="115" t="s">
        <v>34</v>
      </c>
      <c r="D72" s="114" t="s">
        <v>35</v>
      </c>
      <c r="E72" s="115">
        <v>12000</v>
      </c>
      <c r="F72" s="115" t="s">
        <v>749</v>
      </c>
      <c r="G72" s="114" t="s">
        <v>5725</v>
      </c>
      <c r="H72" s="206">
        <v>72000</v>
      </c>
      <c r="I72" s="115" t="s">
        <v>20</v>
      </c>
      <c r="J72" s="114" t="s">
        <v>415</v>
      </c>
      <c r="K72" s="115"/>
      <c r="L72" s="114"/>
      <c r="M72" s="115" t="s">
        <v>5632</v>
      </c>
    </row>
    <row r="73" spans="1:13" ht="45">
      <c r="A73" s="114">
        <v>70</v>
      </c>
      <c r="B73" s="115" t="s">
        <v>5726</v>
      </c>
      <c r="C73" s="114" t="s">
        <v>25</v>
      </c>
      <c r="D73" s="114" t="s">
        <v>17</v>
      </c>
      <c r="E73" s="115">
        <v>12</v>
      </c>
      <c r="F73" s="115" t="s">
        <v>3927</v>
      </c>
      <c r="G73" s="114" t="s">
        <v>393</v>
      </c>
      <c r="H73" s="212">
        <v>20000</v>
      </c>
      <c r="I73" s="115" t="s">
        <v>20</v>
      </c>
      <c r="J73" s="114" t="s">
        <v>415</v>
      </c>
      <c r="K73" s="115" t="s">
        <v>5727</v>
      </c>
      <c r="L73" s="115" t="s">
        <v>5728</v>
      </c>
      <c r="M73" s="115" t="s">
        <v>5632</v>
      </c>
    </row>
    <row r="74" spans="1:13" ht="60">
      <c r="A74" s="114">
        <v>71</v>
      </c>
      <c r="B74" s="115" t="s">
        <v>5729</v>
      </c>
      <c r="C74" s="114" t="s">
        <v>25</v>
      </c>
      <c r="D74" s="114" t="s">
        <v>17</v>
      </c>
      <c r="E74" s="115">
        <v>12</v>
      </c>
      <c r="F74" s="115" t="s">
        <v>2515</v>
      </c>
      <c r="G74" s="114" t="s">
        <v>5730</v>
      </c>
      <c r="H74" s="212">
        <v>17700</v>
      </c>
      <c r="I74" s="115" t="s">
        <v>5731</v>
      </c>
      <c r="J74" s="114" t="s">
        <v>415</v>
      </c>
      <c r="K74" s="115" t="s">
        <v>5732</v>
      </c>
      <c r="L74" s="115" t="s">
        <v>5733</v>
      </c>
      <c r="M74" s="115" t="s">
        <v>5632</v>
      </c>
    </row>
    <row r="75" spans="1:13" ht="18.75">
      <c r="A75" s="248" t="s">
        <v>5734</v>
      </c>
      <c r="B75" s="248"/>
      <c r="C75" s="248"/>
      <c r="D75" s="248"/>
      <c r="E75" s="248"/>
      <c r="F75" s="248"/>
      <c r="G75" s="248"/>
      <c r="H75" s="248"/>
      <c r="I75" s="248"/>
      <c r="J75" s="248"/>
      <c r="K75" s="248"/>
      <c r="L75" s="248"/>
      <c r="M75" s="248"/>
    </row>
    <row r="76" spans="1:13" ht="47.25">
      <c r="A76" s="213">
        <v>1</v>
      </c>
      <c r="B76" s="214" t="s">
        <v>5735</v>
      </c>
      <c r="C76" s="214" t="s">
        <v>34</v>
      </c>
      <c r="D76" s="214" t="s">
        <v>5736</v>
      </c>
      <c r="E76" s="214">
        <v>1</v>
      </c>
      <c r="F76" s="213">
        <v>1</v>
      </c>
      <c r="G76" s="114" t="s">
        <v>5737</v>
      </c>
      <c r="H76" s="215" t="s">
        <v>5738</v>
      </c>
      <c r="I76" s="114" t="s">
        <v>20</v>
      </c>
      <c r="J76" s="213" t="s">
        <v>169</v>
      </c>
      <c r="K76" s="216">
        <v>45292</v>
      </c>
      <c r="L76" s="114"/>
      <c r="M76" s="114" t="s">
        <v>5734</v>
      </c>
    </row>
    <row r="77" spans="1:13" ht="47.25">
      <c r="A77" s="213">
        <v>2</v>
      </c>
      <c r="B77" s="214" t="s">
        <v>5739</v>
      </c>
      <c r="C77" s="214" t="s">
        <v>34</v>
      </c>
      <c r="D77" s="214" t="s">
        <v>5736</v>
      </c>
      <c r="E77" s="214">
        <v>1</v>
      </c>
      <c r="F77" s="213">
        <v>1</v>
      </c>
      <c r="G77" s="114" t="s">
        <v>5737</v>
      </c>
      <c r="H77" s="213" t="s">
        <v>5738</v>
      </c>
      <c r="I77" s="114" t="s">
        <v>20</v>
      </c>
      <c r="J77" s="213" t="s">
        <v>169</v>
      </c>
      <c r="K77" s="216">
        <v>45292</v>
      </c>
      <c r="L77" s="114"/>
      <c r="M77" s="114" t="s">
        <v>5734</v>
      </c>
    </row>
    <row r="78" spans="1:13" ht="47.25">
      <c r="A78" s="213">
        <v>3</v>
      </c>
      <c r="B78" s="214" t="s">
        <v>5740</v>
      </c>
      <c r="C78" s="214" t="s">
        <v>34</v>
      </c>
      <c r="D78" s="214" t="s">
        <v>5736</v>
      </c>
      <c r="E78" s="214">
        <v>1</v>
      </c>
      <c r="F78" s="213">
        <v>4</v>
      </c>
      <c r="G78" s="114" t="s">
        <v>5737</v>
      </c>
      <c r="H78" s="213" t="s">
        <v>5741</v>
      </c>
      <c r="I78" s="114" t="s">
        <v>20</v>
      </c>
      <c r="J78" s="213" t="s">
        <v>169</v>
      </c>
      <c r="K78" s="216">
        <v>45292</v>
      </c>
      <c r="L78" s="114"/>
      <c r="M78" s="114" t="s">
        <v>5734</v>
      </c>
    </row>
    <row r="79" spans="1:13" ht="47.25">
      <c r="A79" s="213">
        <v>4</v>
      </c>
      <c r="B79" s="214" t="s">
        <v>5742</v>
      </c>
      <c r="C79" s="214" t="s">
        <v>34</v>
      </c>
      <c r="D79" s="214" t="s">
        <v>5736</v>
      </c>
      <c r="E79" s="214">
        <v>1</v>
      </c>
      <c r="F79" s="213">
        <v>1</v>
      </c>
      <c r="G79" s="114" t="s">
        <v>5737</v>
      </c>
      <c r="H79" s="213" t="s">
        <v>5738</v>
      </c>
      <c r="I79" s="114" t="s">
        <v>20</v>
      </c>
      <c r="J79" s="213" t="s">
        <v>169</v>
      </c>
      <c r="K79" s="216">
        <v>45292</v>
      </c>
      <c r="L79" s="114"/>
      <c r="M79" s="114" t="s">
        <v>5734</v>
      </c>
    </row>
    <row r="80" spans="1:13" ht="47.25">
      <c r="A80" s="213">
        <v>5</v>
      </c>
      <c r="B80" s="214" t="s">
        <v>5743</v>
      </c>
      <c r="C80" s="214" t="s">
        <v>34</v>
      </c>
      <c r="D80" s="214" t="s">
        <v>5736</v>
      </c>
      <c r="E80" s="214">
        <v>1</v>
      </c>
      <c r="F80" s="213">
        <v>2</v>
      </c>
      <c r="G80" s="114" t="s">
        <v>227</v>
      </c>
      <c r="H80" s="213" t="s">
        <v>5744</v>
      </c>
      <c r="I80" s="114" t="s">
        <v>20</v>
      </c>
      <c r="J80" s="213" t="s">
        <v>21</v>
      </c>
      <c r="K80" s="216">
        <v>45292</v>
      </c>
      <c r="L80" s="114"/>
      <c r="M80" s="114" t="s">
        <v>5734</v>
      </c>
    </row>
    <row r="81" spans="1:13" ht="47.25">
      <c r="A81" s="213">
        <v>6</v>
      </c>
      <c r="B81" s="214" t="s">
        <v>5745</v>
      </c>
      <c r="C81" s="214" t="s">
        <v>34</v>
      </c>
      <c r="D81" s="214" t="s">
        <v>5736</v>
      </c>
      <c r="E81" s="214">
        <v>1</v>
      </c>
      <c r="F81" s="213">
        <v>2</v>
      </c>
      <c r="G81" s="114" t="s">
        <v>227</v>
      </c>
      <c r="H81" s="213" t="s">
        <v>5746</v>
      </c>
      <c r="I81" s="114" t="s">
        <v>20</v>
      </c>
      <c r="J81" s="213" t="s">
        <v>21</v>
      </c>
      <c r="K81" s="216">
        <v>45292</v>
      </c>
      <c r="L81" s="114"/>
      <c r="M81" s="114" t="s">
        <v>5734</v>
      </c>
    </row>
    <row r="82" spans="1:13" ht="47.25">
      <c r="A82" s="213">
        <v>7</v>
      </c>
      <c r="B82" s="214" t="s">
        <v>5747</v>
      </c>
      <c r="C82" s="214" t="s">
        <v>34</v>
      </c>
      <c r="D82" s="214" t="s">
        <v>5736</v>
      </c>
      <c r="E82" s="214">
        <v>1</v>
      </c>
      <c r="F82" s="213">
        <v>1</v>
      </c>
      <c r="G82" s="114" t="s">
        <v>5689</v>
      </c>
      <c r="H82" s="213" t="s">
        <v>5748</v>
      </c>
      <c r="I82" s="114" t="s">
        <v>20</v>
      </c>
      <c r="J82" s="213" t="s">
        <v>21</v>
      </c>
      <c r="K82" s="216">
        <v>45292</v>
      </c>
      <c r="L82" s="114"/>
      <c r="M82" s="114" t="s">
        <v>5734</v>
      </c>
    </row>
    <row r="83" spans="1:13" ht="47.25">
      <c r="A83" s="213">
        <v>8</v>
      </c>
      <c r="B83" s="214" t="s">
        <v>189</v>
      </c>
      <c r="C83" s="214" t="s">
        <v>34</v>
      </c>
      <c r="D83" s="214" t="s">
        <v>5736</v>
      </c>
      <c r="E83" s="214">
        <v>1</v>
      </c>
      <c r="F83" s="213">
        <v>4</v>
      </c>
      <c r="G83" s="114" t="s">
        <v>209</v>
      </c>
      <c r="H83" s="213" t="s">
        <v>5749</v>
      </c>
      <c r="I83" s="114" t="s">
        <v>20</v>
      </c>
      <c r="J83" s="213" t="s">
        <v>21</v>
      </c>
      <c r="K83" s="216">
        <v>45292</v>
      </c>
      <c r="L83" s="114"/>
      <c r="M83" s="114" t="s">
        <v>5734</v>
      </c>
    </row>
    <row r="84" spans="1:13" ht="47.25">
      <c r="A84" s="213">
        <v>9</v>
      </c>
      <c r="B84" s="214" t="s">
        <v>5750</v>
      </c>
      <c r="C84" s="214" t="s">
        <v>34</v>
      </c>
      <c r="D84" s="214" t="s">
        <v>5736</v>
      </c>
      <c r="E84" s="214">
        <v>1</v>
      </c>
      <c r="F84" s="213">
        <v>1</v>
      </c>
      <c r="G84" s="114" t="s">
        <v>209</v>
      </c>
      <c r="H84" s="213" t="s">
        <v>5751</v>
      </c>
      <c r="I84" s="114" t="s">
        <v>20</v>
      </c>
      <c r="J84" s="213" t="s">
        <v>169</v>
      </c>
      <c r="K84" s="216">
        <v>45292</v>
      </c>
      <c r="L84" s="114"/>
      <c r="M84" s="114" t="s">
        <v>5734</v>
      </c>
    </row>
    <row r="85" spans="1:13" ht="78.75">
      <c r="A85" s="213">
        <v>10</v>
      </c>
      <c r="B85" s="214" t="s">
        <v>5752</v>
      </c>
      <c r="C85" s="214" t="s">
        <v>34</v>
      </c>
      <c r="D85" s="214" t="s">
        <v>5736</v>
      </c>
      <c r="E85" s="214">
        <v>1</v>
      </c>
      <c r="F85" s="213">
        <v>4</v>
      </c>
      <c r="G85" s="114" t="s">
        <v>209</v>
      </c>
      <c r="H85" s="213" t="s">
        <v>5751</v>
      </c>
      <c r="I85" s="114" t="s">
        <v>20</v>
      </c>
      <c r="J85" s="213" t="s">
        <v>21</v>
      </c>
      <c r="K85" s="216">
        <v>45292</v>
      </c>
      <c r="L85" s="114"/>
      <c r="M85" s="114" t="s">
        <v>5734</v>
      </c>
    </row>
    <row r="86" spans="1:13" ht="47.25">
      <c r="A86" s="213">
        <v>11</v>
      </c>
      <c r="B86" s="214" t="s">
        <v>5753</v>
      </c>
      <c r="C86" s="214" t="s">
        <v>34</v>
      </c>
      <c r="D86" s="214" t="s">
        <v>5736</v>
      </c>
      <c r="E86" s="214">
        <v>1</v>
      </c>
      <c r="F86" s="213">
        <v>14</v>
      </c>
      <c r="G86" s="114" t="s">
        <v>209</v>
      </c>
      <c r="H86" s="213" t="s">
        <v>5754</v>
      </c>
      <c r="I86" s="114" t="s">
        <v>20</v>
      </c>
      <c r="J86" s="213" t="s">
        <v>21</v>
      </c>
      <c r="K86" s="216">
        <v>45292</v>
      </c>
      <c r="L86" s="114"/>
      <c r="M86" s="114" t="s">
        <v>5734</v>
      </c>
    </row>
    <row r="87" spans="1:13" ht="63">
      <c r="A87" s="213">
        <v>12</v>
      </c>
      <c r="B87" s="214" t="s">
        <v>5755</v>
      </c>
      <c r="C87" s="214" t="s">
        <v>34</v>
      </c>
      <c r="D87" s="214" t="s">
        <v>5736</v>
      </c>
      <c r="E87" s="214">
        <v>1</v>
      </c>
      <c r="F87" s="213">
        <v>3</v>
      </c>
      <c r="G87" s="114" t="s">
        <v>209</v>
      </c>
      <c r="H87" s="213" t="s">
        <v>5749</v>
      </c>
      <c r="I87" s="114" t="s">
        <v>20</v>
      </c>
      <c r="J87" s="213" t="s">
        <v>169</v>
      </c>
      <c r="K87" s="216">
        <v>45292</v>
      </c>
      <c r="L87" s="114"/>
      <c r="M87" s="114" t="s">
        <v>5734</v>
      </c>
    </row>
    <row r="88" spans="1:13" ht="47.25">
      <c r="A88" s="213">
        <v>13</v>
      </c>
      <c r="B88" s="214" t="s">
        <v>5756</v>
      </c>
      <c r="C88" s="214" t="s">
        <v>34</v>
      </c>
      <c r="D88" s="214" t="s">
        <v>5736</v>
      </c>
      <c r="E88" s="214">
        <v>1</v>
      </c>
      <c r="F88" s="213">
        <v>3</v>
      </c>
      <c r="G88" s="114" t="s">
        <v>5737</v>
      </c>
      <c r="H88" s="213" t="s">
        <v>5757</v>
      </c>
      <c r="I88" s="114" t="s">
        <v>20</v>
      </c>
      <c r="J88" s="213" t="s">
        <v>36</v>
      </c>
      <c r="K88" s="216">
        <v>45292</v>
      </c>
      <c r="L88" s="114"/>
      <c r="M88" s="114" t="s">
        <v>5734</v>
      </c>
    </row>
    <row r="89" spans="1:13" ht="47.25">
      <c r="A89" s="213">
        <v>14</v>
      </c>
      <c r="B89" s="214" t="s">
        <v>5758</v>
      </c>
      <c r="C89" s="214" t="s">
        <v>34</v>
      </c>
      <c r="D89" s="214" t="s">
        <v>5736</v>
      </c>
      <c r="E89" s="214">
        <v>1</v>
      </c>
      <c r="F89" s="213">
        <v>6</v>
      </c>
      <c r="G89" s="114" t="s">
        <v>209</v>
      </c>
      <c r="H89" s="213" t="s">
        <v>5759</v>
      </c>
      <c r="I89" s="114" t="s">
        <v>20</v>
      </c>
      <c r="J89" s="213" t="s">
        <v>169</v>
      </c>
      <c r="K89" s="216">
        <v>45292</v>
      </c>
      <c r="L89" s="114"/>
      <c r="M89" s="114" t="s">
        <v>5734</v>
      </c>
    </row>
    <row r="90" spans="1:13" ht="47.25">
      <c r="A90" s="213">
        <v>15</v>
      </c>
      <c r="B90" s="214" t="s">
        <v>5760</v>
      </c>
      <c r="C90" s="214" t="s">
        <v>34</v>
      </c>
      <c r="D90" s="214" t="s">
        <v>5736</v>
      </c>
      <c r="E90" s="214">
        <v>1</v>
      </c>
      <c r="F90" s="213">
        <v>1</v>
      </c>
      <c r="G90" s="114" t="s">
        <v>209</v>
      </c>
      <c r="H90" s="213" t="s">
        <v>5761</v>
      </c>
      <c r="I90" s="114" t="s">
        <v>20</v>
      </c>
      <c r="J90" s="213" t="s">
        <v>21</v>
      </c>
      <c r="K90" s="216">
        <v>45292</v>
      </c>
      <c r="L90" s="114"/>
      <c r="M90" s="114" t="s">
        <v>5734</v>
      </c>
    </row>
    <row r="91" spans="1:13" ht="47.25">
      <c r="A91" s="217">
        <v>16</v>
      </c>
      <c r="B91" s="214" t="s">
        <v>5762</v>
      </c>
      <c r="C91" s="214" t="s">
        <v>26</v>
      </c>
      <c r="D91" s="214" t="s">
        <v>5763</v>
      </c>
      <c r="E91" s="214">
        <v>1</v>
      </c>
      <c r="F91" s="213">
        <v>1</v>
      </c>
      <c r="G91" s="114" t="s">
        <v>227</v>
      </c>
      <c r="H91" s="213" t="s">
        <v>5751</v>
      </c>
      <c r="I91" s="114" t="s">
        <v>20</v>
      </c>
      <c r="J91" s="213" t="s">
        <v>21</v>
      </c>
      <c r="K91" s="216">
        <v>45292</v>
      </c>
      <c r="L91" s="114"/>
      <c r="M91" s="114" t="s">
        <v>5734</v>
      </c>
    </row>
    <row r="92" spans="1:13" ht="47.25">
      <c r="A92" s="213">
        <v>17</v>
      </c>
      <c r="B92" s="214" t="s">
        <v>188</v>
      </c>
      <c r="C92" s="214" t="s">
        <v>34</v>
      </c>
      <c r="D92" s="214" t="s">
        <v>5736</v>
      </c>
      <c r="E92" s="214">
        <v>1</v>
      </c>
      <c r="F92" s="213">
        <v>2</v>
      </c>
      <c r="G92" s="114" t="s">
        <v>5689</v>
      </c>
      <c r="H92" s="213" t="s">
        <v>5764</v>
      </c>
      <c r="I92" s="114" t="s">
        <v>20</v>
      </c>
      <c r="J92" s="213" t="s">
        <v>169</v>
      </c>
      <c r="K92" s="216">
        <v>45292</v>
      </c>
      <c r="L92" s="114"/>
      <c r="M92" s="114" t="s">
        <v>5734</v>
      </c>
    </row>
    <row r="93" spans="1:13" ht="60">
      <c r="A93" s="213">
        <v>18</v>
      </c>
      <c r="B93" s="214" t="s">
        <v>5765</v>
      </c>
      <c r="C93" s="214" t="s">
        <v>34</v>
      </c>
      <c r="D93" s="214" t="s">
        <v>5736</v>
      </c>
      <c r="E93" s="214">
        <v>1</v>
      </c>
      <c r="F93" s="213">
        <v>1</v>
      </c>
      <c r="G93" s="115" t="s">
        <v>5678</v>
      </c>
      <c r="H93" s="213" t="s">
        <v>5766</v>
      </c>
      <c r="I93" s="114" t="s">
        <v>20</v>
      </c>
      <c r="J93" s="213" t="s">
        <v>21</v>
      </c>
      <c r="K93" s="216">
        <v>45292</v>
      </c>
      <c r="L93" s="114"/>
      <c r="M93" s="114" t="s">
        <v>5734</v>
      </c>
    </row>
    <row r="94" spans="1:13" ht="60">
      <c r="A94" s="213">
        <v>19</v>
      </c>
      <c r="B94" s="214" t="s">
        <v>5767</v>
      </c>
      <c r="C94" s="214" t="s">
        <v>34</v>
      </c>
      <c r="D94" s="214" t="s">
        <v>5736</v>
      </c>
      <c r="E94" s="214">
        <v>1</v>
      </c>
      <c r="F94" s="213">
        <v>2</v>
      </c>
      <c r="G94" s="115" t="s">
        <v>5678</v>
      </c>
      <c r="H94" s="213" t="s">
        <v>5768</v>
      </c>
      <c r="I94" s="114" t="s">
        <v>20</v>
      </c>
      <c r="J94" s="213" t="s">
        <v>169</v>
      </c>
      <c r="K94" s="216">
        <v>45292</v>
      </c>
      <c r="L94" s="114"/>
      <c r="M94" s="114" t="s">
        <v>5734</v>
      </c>
    </row>
    <row r="95" spans="1:13" ht="60">
      <c r="A95" s="213">
        <v>20</v>
      </c>
      <c r="B95" s="214" t="s">
        <v>5769</v>
      </c>
      <c r="C95" s="214" t="s">
        <v>34</v>
      </c>
      <c r="D95" s="214" t="s">
        <v>5736</v>
      </c>
      <c r="E95" s="214">
        <v>1</v>
      </c>
      <c r="F95" s="213">
        <v>1</v>
      </c>
      <c r="G95" s="115" t="s">
        <v>5770</v>
      </c>
      <c r="H95" s="213" t="s">
        <v>5771</v>
      </c>
      <c r="I95" s="114" t="s">
        <v>20</v>
      </c>
      <c r="J95" s="213" t="s">
        <v>169</v>
      </c>
      <c r="K95" s="216">
        <v>45292</v>
      </c>
      <c r="L95" s="114"/>
      <c r="M95" s="114" t="s">
        <v>5734</v>
      </c>
    </row>
    <row r="96" spans="1:13" ht="63">
      <c r="A96" s="213">
        <v>21</v>
      </c>
      <c r="B96" s="214" t="s">
        <v>5772</v>
      </c>
      <c r="C96" s="214" t="s">
        <v>34</v>
      </c>
      <c r="D96" s="214" t="s">
        <v>5736</v>
      </c>
      <c r="E96" s="214">
        <v>1</v>
      </c>
      <c r="F96" s="213">
        <v>3</v>
      </c>
      <c r="G96" s="114" t="s">
        <v>5737</v>
      </c>
      <c r="H96" s="213" t="s">
        <v>5773</v>
      </c>
      <c r="I96" s="114" t="s">
        <v>20</v>
      </c>
      <c r="J96" s="213" t="s">
        <v>21</v>
      </c>
      <c r="K96" s="216">
        <v>45292</v>
      </c>
      <c r="L96" s="114"/>
      <c r="M96" s="114" t="s">
        <v>5734</v>
      </c>
    </row>
    <row r="97" spans="1:13" ht="47.25">
      <c r="A97" s="213">
        <v>22</v>
      </c>
      <c r="B97" s="214" t="s">
        <v>5774</v>
      </c>
      <c r="C97" s="214" t="s">
        <v>34</v>
      </c>
      <c r="D97" s="214" t="s">
        <v>5763</v>
      </c>
      <c r="E97" s="214">
        <v>1</v>
      </c>
      <c r="F97" s="213">
        <v>10</v>
      </c>
      <c r="G97" s="114" t="s">
        <v>5737</v>
      </c>
      <c r="H97" s="213" t="s">
        <v>5775</v>
      </c>
      <c r="I97" s="114" t="s">
        <v>20</v>
      </c>
      <c r="J97" s="213" t="s">
        <v>169</v>
      </c>
      <c r="K97" s="216">
        <v>45292</v>
      </c>
      <c r="L97" s="114"/>
      <c r="M97" s="114" t="s">
        <v>5734</v>
      </c>
    </row>
    <row r="98" spans="1:13" ht="47.25">
      <c r="A98" s="213">
        <v>23</v>
      </c>
      <c r="B98" s="214" t="s">
        <v>5776</v>
      </c>
      <c r="C98" s="214" t="s">
        <v>34</v>
      </c>
      <c r="D98" s="214" t="s">
        <v>5736</v>
      </c>
      <c r="E98" s="214">
        <v>1</v>
      </c>
      <c r="F98" s="213">
        <v>6</v>
      </c>
      <c r="G98" s="114" t="s">
        <v>5737</v>
      </c>
      <c r="H98" s="213" t="s">
        <v>5764</v>
      </c>
      <c r="I98" s="114" t="s">
        <v>20</v>
      </c>
      <c r="J98" s="213" t="s">
        <v>169</v>
      </c>
      <c r="K98" s="216">
        <v>45292</v>
      </c>
      <c r="L98" s="114"/>
      <c r="M98" s="114" t="s">
        <v>5734</v>
      </c>
    </row>
    <row r="99" spans="1:13" ht="47.25">
      <c r="A99" s="213">
        <v>24</v>
      </c>
      <c r="B99" s="214" t="s">
        <v>5777</v>
      </c>
      <c r="C99" s="214" t="s">
        <v>26</v>
      </c>
      <c r="D99" s="214" t="s">
        <v>5763</v>
      </c>
      <c r="E99" s="214">
        <v>1</v>
      </c>
      <c r="F99" s="213">
        <v>1</v>
      </c>
      <c r="G99" s="114" t="s">
        <v>393</v>
      </c>
      <c r="H99" s="213" t="s">
        <v>5778</v>
      </c>
      <c r="I99" s="114" t="s">
        <v>20</v>
      </c>
      <c r="J99" s="213" t="s">
        <v>169</v>
      </c>
      <c r="K99" s="216">
        <v>45292</v>
      </c>
      <c r="L99" s="114"/>
      <c r="M99" s="114" t="s">
        <v>5734</v>
      </c>
    </row>
    <row r="100" spans="1:13" ht="47.25">
      <c r="A100" s="213">
        <v>25</v>
      </c>
      <c r="B100" s="214" t="s">
        <v>5779</v>
      </c>
      <c r="C100" s="214" t="s">
        <v>34</v>
      </c>
      <c r="D100" s="214" t="s">
        <v>5736</v>
      </c>
      <c r="E100" s="214">
        <v>1</v>
      </c>
      <c r="F100" s="213">
        <v>1</v>
      </c>
      <c r="G100" s="114" t="s">
        <v>5689</v>
      </c>
      <c r="H100" s="213" t="s">
        <v>5780</v>
      </c>
      <c r="I100" s="114" t="s">
        <v>20</v>
      </c>
      <c r="J100" s="213" t="s">
        <v>169</v>
      </c>
      <c r="K100" s="216">
        <v>45292</v>
      </c>
      <c r="L100" s="114"/>
      <c r="M100" s="114" t="s">
        <v>5734</v>
      </c>
    </row>
    <row r="101" spans="1:13" ht="47.25">
      <c r="A101" s="213">
        <v>26</v>
      </c>
      <c r="B101" s="214" t="s">
        <v>5781</v>
      </c>
      <c r="C101" s="214" t="s">
        <v>34</v>
      </c>
      <c r="D101" s="214" t="s">
        <v>5736</v>
      </c>
      <c r="E101" s="214">
        <v>1</v>
      </c>
      <c r="F101" s="213">
        <v>1</v>
      </c>
      <c r="G101" s="114" t="s">
        <v>5689</v>
      </c>
      <c r="H101" s="213" t="s">
        <v>5768</v>
      </c>
      <c r="I101" s="114" t="s">
        <v>20</v>
      </c>
      <c r="J101" s="213" t="s">
        <v>169</v>
      </c>
      <c r="K101" s="216">
        <v>45292</v>
      </c>
      <c r="L101" s="114"/>
      <c r="M101" s="114" t="s">
        <v>5734</v>
      </c>
    </row>
    <row r="102" spans="1:13" ht="47.25">
      <c r="A102" s="218">
        <v>27</v>
      </c>
      <c r="B102" s="219" t="s">
        <v>5782</v>
      </c>
      <c r="C102" s="219" t="s">
        <v>34</v>
      </c>
      <c r="D102" s="219" t="s">
        <v>5736</v>
      </c>
      <c r="E102" s="219">
        <v>10</v>
      </c>
      <c r="F102" s="218">
        <v>152</v>
      </c>
      <c r="G102" s="114" t="s">
        <v>5783</v>
      </c>
      <c r="H102" s="218" t="s">
        <v>5784</v>
      </c>
      <c r="I102" s="114" t="s">
        <v>20</v>
      </c>
      <c r="J102" s="218" t="s">
        <v>5785</v>
      </c>
      <c r="K102" s="216">
        <v>45292</v>
      </c>
      <c r="L102" s="114"/>
      <c r="M102" s="114" t="s">
        <v>5734</v>
      </c>
    </row>
    <row r="103" spans="1:13" ht="45">
      <c r="A103" s="218">
        <v>28</v>
      </c>
      <c r="B103" s="164" t="s">
        <v>5786</v>
      </c>
      <c r="C103" s="220" t="s">
        <v>347</v>
      </c>
      <c r="D103" s="164" t="s">
        <v>2953</v>
      </c>
      <c r="E103" s="172">
        <v>11680</v>
      </c>
      <c r="F103" s="220" t="s">
        <v>5787</v>
      </c>
      <c r="G103" s="114" t="s">
        <v>5788</v>
      </c>
      <c r="H103" s="206">
        <v>61728.800000000003</v>
      </c>
      <c r="I103" s="114" t="s">
        <v>758</v>
      </c>
      <c r="J103" s="114" t="s">
        <v>331</v>
      </c>
      <c r="K103" s="216">
        <v>45292</v>
      </c>
      <c r="L103" s="114"/>
      <c r="M103" s="114" t="s">
        <v>5734</v>
      </c>
    </row>
    <row r="104" spans="1:13" ht="45">
      <c r="A104" s="218">
        <v>29</v>
      </c>
      <c r="B104" s="164" t="s">
        <v>5789</v>
      </c>
      <c r="C104" s="220" t="s">
        <v>347</v>
      </c>
      <c r="D104" s="164" t="s">
        <v>2953</v>
      </c>
      <c r="E104" s="172">
        <v>5840</v>
      </c>
      <c r="F104" s="220" t="s">
        <v>5790</v>
      </c>
      <c r="G104" s="114" t="s">
        <v>5788</v>
      </c>
      <c r="H104" s="206">
        <v>97995.199999999997</v>
      </c>
      <c r="I104" s="114" t="s">
        <v>758</v>
      </c>
      <c r="J104" s="114" t="s">
        <v>331</v>
      </c>
      <c r="K104" s="216">
        <v>45292</v>
      </c>
      <c r="L104" s="114"/>
      <c r="M104" s="114" t="s">
        <v>5734</v>
      </c>
    </row>
    <row r="105" spans="1:13" ht="30">
      <c r="A105" s="218">
        <v>30</v>
      </c>
      <c r="B105" s="164" t="s">
        <v>5791</v>
      </c>
      <c r="C105" s="220" t="s">
        <v>347</v>
      </c>
      <c r="D105" s="164" t="s">
        <v>2953</v>
      </c>
      <c r="E105" s="172">
        <v>5840</v>
      </c>
      <c r="F105" s="220" t="s">
        <v>5790</v>
      </c>
      <c r="G105" s="114" t="s">
        <v>5788</v>
      </c>
      <c r="H105" s="206">
        <v>97995.199999999997</v>
      </c>
      <c r="I105" s="114" t="s">
        <v>758</v>
      </c>
      <c r="J105" s="114" t="s">
        <v>331</v>
      </c>
      <c r="K105" s="216">
        <v>45292</v>
      </c>
      <c r="L105" s="114"/>
      <c r="M105" s="114" t="s">
        <v>5734</v>
      </c>
    </row>
    <row r="106" spans="1:13" ht="90">
      <c r="A106" s="218">
        <v>31</v>
      </c>
      <c r="B106" s="115" t="s">
        <v>5792</v>
      </c>
      <c r="C106" s="114" t="s">
        <v>325</v>
      </c>
      <c r="D106" s="115" t="s">
        <v>2992</v>
      </c>
      <c r="E106" s="115">
        <v>2</v>
      </c>
      <c r="F106" s="115" t="s">
        <v>885</v>
      </c>
      <c r="G106" s="115" t="s">
        <v>5793</v>
      </c>
      <c r="H106" s="206">
        <v>300000</v>
      </c>
      <c r="I106" s="114" t="s">
        <v>758</v>
      </c>
      <c r="J106" s="114" t="s">
        <v>2994</v>
      </c>
      <c r="K106" s="216">
        <v>45292</v>
      </c>
      <c r="L106" s="114"/>
      <c r="M106" s="114"/>
    </row>
    <row r="107" spans="1:13" ht="60">
      <c r="A107" s="218">
        <v>32</v>
      </c>
      <c r="B107" s="115" t="s">
        <v>5794</v>
      </c>
      <c r="C107" s="114" t="s">
        <v>325</v>
      </c>
      <c r="D107" s="115" t="s">
        <v>343</v>
      </c>
      <c r="E107" s="115">
        <v>12</v>
      </c>
      <c r="F107" s="115" t="s">
        <v>885</v>
      </c>
      <c r="G107" s="115" t="s">
        <v>5795</v>
      </c>
      <c r="H107" s="206">
        <v>500</v>
      </c>
      <c r="I107" s="114" t="s">
        <v>758</v>
      </c>
      <c r="J107" s="114" t="s">
        <v>331</v>
      </c>
      <c r="K107" s="216">
        <v>45292</v>
      </c>
      <c r="L107" s="114"/>
      <c r="M107" s="114" t="s">
        <v>5734</v>
      </c>
    </row>
    <row r="108" spans="1:13" ht="18.75">
      <c r="A108" s="248" t="s">
        <v>5796</v>
      </c>
      <c r="B108" s="248"/>
      <c r="C108" s="248"/>
      <c r="D108" s="248"/>
      <c r="E108" s="248"/>
      <c r="F108" s="248"/>
      <c r="G108" s="248"/>
      <c r="H108" s="248"/>
      <c r="I108" s="248"/>
      <c r="J108" s="248"/>
      <c r="K108" s="248"/>
      <c r="L108" s="248"/>
      <c r="M108" s="248"/>
    </row>
    <row r="109" spans="1:13" ht="30">
      <c r="A109" s="114">
        <v>1</v>
      </c>
      <c r="B109" s="115" t="s">
        <v>5797</v>
      </c>
      <c r="C109" s="114" t="s">
        <v>325</v>
      </c>
      <c r="D109" s="115" t="s">
        <v>2992</v>
      </c>
      <c r="E109" s="115">
        <v>20</v>
      </c>
      <c r="F109" s="115" t="s">
        <v>885</v>
      </c>
      <c r="G109" s="115" t="s">
        <v>5798</v>
      </c>
      <c r="H109" s="206">
        <v>7500</v>
      </c>
      <c r="I109" s="114" t="s">
        <v>758</v>
      </c>
      <c r="J109" s="114" t="s">
        <v>331</v>
      </c>
      <c r="K109" s="216">
        <v>45292</v>
      </c>
      <c r="L109" s="46"/>
      <c r="M109" s="115" t="s">
        <v>5799</v>
      </c>
    </row>
    <row r="110" spans="1:13" ht="45">
      <c r="A110" s="114">
        <v>2</v>
      </c>
      <c r="B110" s="115" t="s">
        <v>5800</v>
      </c>
      <c r="C110" s="114" t="s">
        <v>325</v>
      </c>
      <c r="D110" s="115" t="s">
        <v>2992</v>
      </c>
      <c r="E110" s="115">
        <v>4</v>
      </c>
      <c r="F110" s="115" t="s">
        <v>885</v>
      </c>
      <c r="G110" s="115" t="s">
        <v>5798</v>
      </c>
      <c r="H110" s="206">
        <v>9500</v>
      </c>
      <c r="I110" s="114" t="s">
        <v>758</v>
      </c>
      <c r="J110" s="114" t="s">
        <v>2994</v>
      </c>
      <c r="K110" s="216">
        <v>45292</v>
      </c>
      <c r="L110" s="46"/>
      <c r="M110" s="115" t="s">
        <v>5799</v>
      </c>
    </row>
    <row r="111" spans="1:13" ht="75">
      <c r="A111" s="114">
        <v>3</v>
      </c>
      <c r="B111" s="115" t="s">
        <v>5801</v>
      </c>
      <c r="C111" s="114" t="s">
        <v>325</v>
      </c>
      <c r="D111" s="115" t="s">
        <v>2992</v>
      </c>
      <c r="E111" s="115">
        <v>10</v>
      </c>
      <c r="F111" s="115" t="s">
        <v>885</v>
      </c>
      <c r="G111" s="114" t="s">
        <v>5798</v>
      </c>
      <c r="H111" s="206">
        <v>7500</v>
      </c>
      <c r="I111" s="114" t="s">
        <v>758</v>
      </c>
      <c r="J111" s="114" t="s">
        <v>351</v>
      </c>
      <c r="K111" s="216">
        <v>45292</v>
      </c>
      <c r="L111" s="46"/>
      <c r="M111" s="115" t="s">
        <v>5799</v>
      </c>
    </row>
    <row r="112" spans="1:13" ht="60">
      <c r="A112" s="114">
        <v>4</v>
      </c>
      <c r="B112" s="115" t="s">
        <v>5802</v>
      </c>
      <c r="C112" s="114" t="s">
        <v>325</v>
      </c>
      <c r="D112" s="115" t="s">
        <v>343</v>
      </c>
      <c r="E112" s="115">
        <v>10</v>
      </c>
      <c r="F112" s="115" t="s">
        <v>885</v>
      </c>
      <c r="G112" s="114" t="s">
        <v>5803</v>
      </c>
      <c r="H112" s="206">
        <v>350</v>
      </c>
      <c r="I112" s="114" t="s">
        <v>758</v>
      </c>
      <c r="J112" s="114" t="s">
        <v>351</v>
      </c>
      <c r="K112" s="216">
        <v>45292</v>
      </c>
      <c r="L112" s="46"/>
      <c r="M112" s="115" t="s">
        <v>5799</v>
      </c>
    </row>
    <row r="113" spans="1:13" ht="60">
      <c r="A113" s="114">
        <v>5</v>
      </c>
      <c r="B113" s="115" t="s">
        <v>5804</v>
      </c>
      <c r="C113" s="114" t="s">
        <v>325</v>
      </c>
      <c r="D113" s="115" t="s">
        <v>343</v>
      </c>
      <c r="E113" s="115">
        <v>20</v>
      </c>
      <c r="F113" s="115" t="s">
        <v>885</v>
      </c>
      <c r="G113" s="114" t="s">
        <v>5803</v>
      </c>
      <c r="H113" s="206">
        <v>230</v>
      </c>
      <c r="I113" s="114" t="s">
        <v>758</v>
      </c>
      <c r="J113" s="114" t="s">
        <v>351</v>
      </c>
      <c r="K113" s="216">
        <v>45292</v>
      </c>
      <c r="L113" s="46"/>
      <c r="M113" s="115" t="s">
        <v>5799</v>
      </c>
    </row>
    <row r="114" spans="1:13" ht="30">
      <c r="A114" s="114">
        <v>6</v>
      </c>
      <c r="B114" s="115" t="s">
        <v>5805</v>
      </c>
      <c r="C114" s="114" t="s">
        <v>325</v>
      </c>
      <c r="D114" s="115" t="s">
        <v>343</v>
      </c>
      <c r="E114" s="115">
        <v>100</v>
      </c>
      <c r="F114" s="115" t="s">
        <v>885</v>
      </c>
      <c r="G114" s="114" t="s">
        <v>5803</v>
      </c>
      <c r="H114" s="206">
        <v>150</v>
      </c>
      <c r="I114" s="114" t="s">
        <v>758</v>
      </c>
      <c r="J114" s="114" t="s">
        <v>351</v>
      </c>
      <c r="K114" s="216">
        <v>45292</v>
      </c>
      <c r="L114" s="46"/>
      <c r="M114" s="115" t="s">
        <v>5799</v>
      </c>
    </row>
    <row r="115" spans="1:13" ht="30">
      <c r="A115" s="114">
        <v>7</v>
      </c>
      <c r="B115" s="115" t="s">
        <v>5806</v>
      </c>
      <c r="C115" s="114" t="s">
        <v>325</v>
      </c>
      <c r="D115" s="115" t="s">
        <v>343</v>
      </c>
      <c r="E115" s="115">
        <v>20</v>
      </c>
      <c r="F115" s="115" t="s">
        <v>885</v>
      </c>
      <c r="G115" s="114" t="s">
        <v>5803</v>
      </c>
      <c r="H115" s="206">
        <v>150</v>
      </c>
      <c r="I115" s="114" t="s">
        <v>758</v>
      </c>
      <c r="J115" s="114" t="s">
        <v>2994</v>
      </c>
      <c r="K115" s="216">
        <v>45292</v>
      </c>
      <c r="L115" s="46"/>
      <c r="M115" s="115" t="s">
        <v>5799</v>
      </c>
    </row>
    <row r="116" spans="1:13" ht="30">
      <c r="A116" s="114">
        <v>8</v>
      </c>
      <c r="B116" s="115" t="s">
        <v>5807</v>
      </c>
      <c r="C116" s="114" t="s">
        <v>325</v>
      </c>
      <c r="D116" s="115" t="s">
        <v>343</v>
      </c>
      <c r="E116" s="115">
        <v>10</v>
      </c>
      <c r="F116" s="115" t="s">
        <v>885</v>
      </c>
      <c r="G116" s="114" t="s">
        <v>5803</v>
      </c>
      <c r="H116" s="206">
        <v>450</v>
      </c>
      <c r="I116" s="114" t="s">
        <v>758</v>
      </c>
      <c r="J116" s="114" t="s">
        <v>2994</v>
      </c>
      <c r="K116" s="216">
        <v>45292</v>
      </c>
      <c r="L116" s="46"/>
      <c r="M116" s="115" t="s">
        <v>5799</v>
      </c>
    </row>
    <row r="117" spans="1:13" ht="45">
      <c r="A117" s="114">
        <v>9</v>
      </c>
      <c r="B117" s="115" t="s">
        <v>5808</v>
      </c>
      <c r="C117" s="114" t="s">
        <v>325</v>
      </c>
      <c r="D117" s="115" t="s">
        <v>343</v>
      </c>
      <c r="E117" s="115">
        <v>40</v>
      </c>
      <c r="F117" s="115" t="s">
        <v>885</v>
      </c>
      <c r="G117" s="114" t="s">
        <v>5803</v>
      </c>
      <c r="H117" s="206">
        <v>150</v>
      </c>
      <c r="I117" s="114" t="s">
        <v>758</v>
      </c>
      <c r="J117" s="114" t="s">
        <v>331</v>
      </c>
      <c r="K117" s="216">
        <v>45292</v>
      </c>
      <c r="L117" s="46"/>
      <c r="M117" s="115" t="s">
        <v>5799</v>
      </c>
    </row>
    <row r="118" spans="1:13" ht="30">
      <c r="A118" s="114">
        <v>10</v>
      </c>
      <c r="B118" s="115" t="s">
        <v>5809</v>
      </c>
      <c r="C118" s="114" t="s">
        <v>325</v>
      </c>
      <c r="D118" s="115" t="s">
        <v>343</v>
      </c>
      <c r="E118" s="115">
        <v>40</v>
      </c>
      <c r="F118" s="115" t="s">
        <v>885</v>
      </c>
      <c r="G118" s="114" t="s">
        <v>5803</v>
      </c>
      <c r="H118" s="206">
        <v>210</v>
      </c>
      <c r="I118" s="114" t="s">
        <v>758</v>
      </c>
      <c r="J118" s="114" t="s">
        <v>2994</v>
      </c>
      <c r="K118" s="216">
        <v>45292</v>
      </c>
      <c r="L118" s="46"/>
      <c r="M118" s="115" t="s">
        <v>5799</v>
      </c>
    </row>
    <row r="119" spans="1:13" ht="30">
      <c r="A119" s="114">
        <v>11</v>
      </c>
      <c r="B119" s="115" t="s">
        <v>5810</v>
      </c>
      <c r="C119" s="114" t="s">
        <v>325</v>
      </c>
      <c r="D119" s="115" t="s">
        <v>343</v>
      </c>
      <c r="E119" s="115">
        <v>40</v>
      </c>
      <c r="F119" s="115" t="s">
        <v>885</v>
      </c>
      <c r="G119" s="114" t="s">
        <v>5803</v>
      </c>
      <c r="H119" s="206">
        <v>120</v>
      </c>
      <c r="I119" s="114" t="s">
        <v>758</v>
      </c>
      <c r="J119" s="114" t="s">
        <v>2994</v>
      </c>
      <c r="K119" s="216">
        <v>45292</v>
      </c>
      <c r="L119" s="46"/>
      <c r="M119" s="115" t="s">
        <v>5799</v>
      </c>
    </row>
    <row r="120" spans="1:13" ht="45">
      <c r="A120" s="114">
        <v>12</v>
      </c>
      <c r="B120" s="115" t="s">
        <v>5811</v>
      </c>
      <c r="C120" s="114" t="s">
        <v>325</v>
      </c>
      <c r="D120" s="115" t="s">
        <v>343</v>
      </c>
      <c r="E120" s="115">
        <v>80</v>
      </c>
      <c r="F120" s="115" t="s">
        <v>885</v>
      </c>
      <c r="G120" s="114" t="s">
        <v>5803</v>
      </c>
      <c r="H120" s="206">
        <v>150</v>
      </c>
      <c r="I120" s="114" t="s">
        <v>758</v>
      </c>
      <c r="J120" s="114" t="s">
        <v>2994</v>
      </c>
      <c r="K120" s="216">
        <v>45292</v>
      </c>
      <c r="L120" s="46"/>
      <c r="M120" s="115" t="s">
        <v>5799</v>
      </c>
    </row>
    <row r="121" spans="1:13" ht="30">
      <c r="A121" s="114">
        <v>13</v>
      </c>
      <c r="B121" s="115" t="s">
        <v>5812</v>
      </c>
      <c r="C121" s="114" t="s">
        <v>325</v>
      </c>
      <c r="D121" s="115" t="s">
        <v>343</v>
      </c>
      <c r="E121" s="115">
        <v>80</v>
      </c>
      <c r="F121" s="115" t="s">
        <v>885</v>
      </c>
      <c r="G121" s="114" t="s">
        <v>5803</v>
      </c>
      <c r="H121" s="206">
        <v>70</v>
      </c>
      <c r="I121" s="114" t="s">
        <v>758</v>
      </c>
      <c r="J121" s="114" t="s">
        <v>2994</v>
      </c>
      <c r="K121" s="216">
        <v>45292</v>
      </c>
      <c r="L121" s="46"/>
      <c r="M121" s="115" t="s">
        <v>5799</v>
      </c>
    </row>
    <row r="122" spans="1:13" ht="30">
      <c r="A122" s="114">
        <v>14</v>
      </c>
      <c r="B122" s="115" t="s">
        <v>5813</v>
      </c>
      <c r="C122" s="114" t="s">
        <v>325</v>
      </c>
      <c r="D122" s="115" t="s">
        <v>5814</v>
      </c>
      <c r="E122" s="115">
        <v>80</v>
      </c>
      <c r="F122" s="115" t="s">
        <v>885</v>
      </c>
      <c r="G122" s="114" t="s">
        <v>5803</v>
      </c>
      <c r="H122" s="206">
        <v>60</v>
      </c>
      <c r="I122" s="114" t="s">
        <v>758</v>
      </c>
      <c r="J122" s="114" t="s">
        <v>2994</v>
      </c>
      <c r="K122" s="216">
        <v>45292</v>
      </c>
      <c r="L122" s="46"/>
      <c r="M122" s="115" t="s">
        <v>5799</v>
      </c>
    </row>
    <row r="123" spans="1:13" ht="30">
      <c r="A123" s="114">
        <v>15</v>
      </c>
      <c r="B123" s="115" t="s">
        <v>5815</v>
      </c>
      <c r="C123" s="114" t="s">
        <v>325</v>
      </c>
      <c r="D123" s="115" t="s">
        <v>343</v>
      </c>
      <c r="E123" s="115">
        <v>40</v>
      </c>
      <c r="F123" s="115" t="s">
        <v>885</v>
      </c>
      <c r="G123" s="114" t="s">
        <v>5803</v>
      </c>
      <c r="H123" s="206">
        <v>70</v>
      </c>
      <c r="I123" s="114" t="s">
        <v>758</v>
      </c>
      <c r="J123" s="114" t="s">
        <v>2994</v>
      </c>
      <c r="K123" s="216">
        <v>45292</v>
      </c>
      <c r="L123" s="46"/>
      <c r="M123" s="115" t="s">
        <v>5799</v>
      </c>
    </row>
    <row r="124" spans="1:13" ht="30">
      <c r="A124" s="114">
        <v>16</v>
      </c>
      <c r="B124" s="115" t="s">
        <v>5816</v>
      </c>
      <c r="C124" s="114" t="s">
        <v>325</v>
      </c>
      <c r="D124" s="115" t="s">
        <v>343</v>
      </c>
      <c r="E124" s="115">
        <v>5000</v>
      </c>
      <c r="F124" s="115" t="s">
        <v>885</v>
      </c>
      <c r="G124" s="114" t="s">
        <v>5817</v>
      </c>
      <c r="H124" s="206">
        <v>14</v>
      </c>
      <c r="I124" s="114" t="s">
        <v>758</v>
      </c>
      <c r="J124" s="114" t="s">
        <v>2994</v>
      </c>
      <c r="K124" s="216">
        <v>45292</v>
      </c>
      <c r="L124" s="46"/>
      <c r="M124" s="115" t="s">
        <v>5799</v>
      </c>
    </row>
    <row r="125" spans="1:13" ht="30">
      <c r="A125" s="114">
        <v>17</v>
      </c>
      <c r="B125" s="115" t="s">
        <v>5818</v>
      </c>
      <c r="C125" s="114" t="s">
        <v>325</v>
      </c>
      <c r="D125" s="115" t="s">
        <v>343</v>
      </c>
      <c r="E125" s="115">
        <v>5000</v>
      </c>
      <c r="F125" s="114" t="s">
        <v>885</v>
      </c>
      <c r="G125" s="114" t="s">
        <v>5817</v>
      </c>
      <c r="H125" s="206">
        <v>8</v>
      </c>
      <c r="I125" s="114" t="s">
        <v>758</v>
      </c>
      <c r="J125" s="114" t="s">
        <v>2994</v>
      </c>
      <c r="K125" s="216">
        <v>45292</v>
      </c>
      <c r="L125" s="46"/>
      <c r="M125" s="115" t="s">
        <v>5799</v>
      </c>
    </row>
    <row r="126" spans="1:13" ht="30">
      <c r="A126" s="114">
        <v>18</v>
      </c>
      <c r="B126" s="115" t="s">
        <v>5819</v>
      </c>
      <c r="C126" s="114" t="s">
        <v>325</v>
      </c>
      <c r="D126" s="115" t="s">
        <v>343</v>
      </c>
      <c r="E126" s="115">
        <v>5000</v>
      </c>
      <c r="F126" s="114" t="s">
        <v>885</v>
      </c>
      <c r="G126" s="114" t="s">
        <v>5817</v>
      </c>
      <c r="H126" s="206">
        <v>8</v>
      </c>
      <c r="I126" s="114" t="s">
        <v>758</v>
      </c>
      <c r="J126" s="114" t="s">
        <v>331</v>
      </c>
      <c r="K126" s="216">
        <v>45292</v>
      </c>
      <c r="L126" s="46"/>
      <c r="M126" s="115" t="s">
        <v>5799</v>
      </c>
    </row>
    <row r="127" spans="1:13" ht="30">
      <c r="A127" s="114">
        <v>19</v>
      </c>
      <c r="B127" s="115" t="s">
        <v>5820</v>
      </c>
      <c r="C127" s="114" t="s">
        <v>325</v>
      </c>
      <c r="D127" s="115" t="s">
        <v>343</v>
      </c>
      <c r="E127" s="115">
        <v>5000</v>
      </c>
      <c r="F127" s="114" t="s">
        <v>885</v>
      </c>
      <c r="G127" s="114" t="s">
        <v>5817</v>
      </c>
      <c r="H127" s="206">
        <v>8</v>
      </c>
      <c r="I127" s="114" t="s">
        <v>758</v>
      </c>
      <c r="J127" s="114" t="s">
        <v>331</v>
      </c>
      <c r="K127" s="216">
        <v>45292</v>
      </c>
      <c r="L127" s="46"/>
      <c r="M127" s="115" t="s">
        <v>5799</v>
      </c>
    </row>
    <row r="128" spans="1:13" ht="30">
      <c r="A128" s="114">
        <v>20</v>
      </c>
      <c r="B128" s="115" t="s">
        <v>5821</v>
      </c>
      <c r="C128" s="114" t="s">
        <v>325</v>
      </c>
      <c r="D128" s="115" t="s">
        <v>343</v>
      </c>
      <c r="E128" s="115">
        <v>5000</v>
      </c>
      <c r="F128" s="114" t="s">
        <v>885</v>
      </c>
      <c r="G128" s="114" t="s">
        <v>5817</v>
      </c>
      <c r="H128" s="206">
        <v>8</v>
      </c>
      <c r="I128" s="114" t="s">
        <v>758</v>
      </c>
      <c r="J128" s="114" t="s">
        <v>2994</v>
      </c>
      <c r="K128" s="216">
        <v>45292</v>
      </c>
      <c r="L128" s="46"/>
      <c r="M128" s="115" t="s">
        <v>5799</v>
      </c>
    </row>
    <row r="129" spans="1:13" ht="30">
      <c r="A129" s="114">
        <v>21</v>
      </c>
      <c r="B129" s="115" t="s">
        <v>5822</v>
      </c>
      <c r="C129" s="114" t="s">
        <v>325</v>
      </c>
      <c r="D129" s="115" t="s">
        <v>343</v>
      </c>
      <c r="E129" s="115">
        <v>5000</v>
      </c>
      <c r="F129" s="114" t="s">
        <v>885</v>
      </c>
      <c r="G129" s="114" t="s">
        <v>5817</v>
      </c>
      <c r="H129" s="206">
        <v>25</v>
      </c>
      <c r="I129" s="114" t="s">
        <v>758</v>
      </c>
      <c r="J129" s="114" t="s">
        <v>2994</v>
      </c>
      <c r="K129" s="216">
        <v>45292</v>
      </c>
      <c r="L129" s="46"/>
      <c r="M129" s="115" t="s">
        <v>5799</v>
      </c>
    </row>
    <row r="130" spans="1:13" ht="45">
      <c r="A130" s="114">
        <v>22</v>
      </c>
      <c r="B130" s="115" t="s">
        <v>5823</v>
      </c>
      <c r="C130" s="114" t="s">
        <v>325</v>
      </c>
      <c r="D130" s="115" t="s">
        <v>343</v>
      </c>
      <c r="E130" s="115">
        <v>1000</v>
      </c>
      <c r="F130" s="114" t="s">
        <v>885</v>
      </c>
      <c r="G130" s="114" t="s">
        <v>5817</v>
      </c>
      <c r="H130" s="206">
        <v>25</v>
      </c>
      <c r="I130" s="114" t="s">
        <v>758</v>
      </c>
      <c r="J130" s="114" t="s">
        <v>2994</v>
      </c>
      <c r="K130" s="216">
        <v>45292</v>
      </c>
      <c r="L130" s="46"/>
      <c r="M130" s="115" t="s">
        <v>5799</v>
      </c>
    </row>
    <row r="131" spans="1:13" ht="60">
      <c r="A131" s="114">
        <v>23</v>
      </c>
      <c r="B131" s="115" t="s">
        <v>5824</v>
      </c>
      <c r="C131" s="114" t="s">
        <v>325</v>
      </c>
      <c r="D131" s="115" t="s">
        <v>343</v>
      </c>
      <c r="E131" s="115">
        <v>1000</v>
      </c>
      <c r="F131" s="114" t="s">
        <v>885</v>
      </c>
      <c r="G131" s="114" t="s">
        <v>5788</v>
      </c>
      <c r="H131" s="206">
        <v>25</v>
      </c>
      <c r="I131" s="114" t="s">
        <v>758</v>
      </c>
      <c r="J131" s="114" t="s">
        <v>2994</v>
      </c>
      <c r="K131" s="216">
        <v>45292</v>
      </c>
      <c r="L131" s="46"/>
      <c r="M131" s="115" t="s">
        <v>5799</v>
      </c>
    </row>
    <row r="132" spans="1:13" ht="45">
      <c r="A132" s="114">
        <v>24</v>
      </c>
      <c r="B132" s="164" t="s">
        <v>5786</v>
      </c>
      <c r="C132" s="220" t="s">
        <v>347</v>
      </c>
      <c r="D132" s="164" t="s">
        <v>2953</v>
      </c>
      <c r="E132" s="172">
        <v>11680</v>
      </c>
      <c r="F132" s="220" t="s">
        <v>5787</v>
      </c>
      <c r="G132" s="114" t="s">
        <v>5788</v>
      </c>
      <c r="H132" s="206">
        <v>61728.800000000003</v>
      </c>
      <c r="I132" s="114" t="s">
        <v>758</v>
      </c>
      <c r="J132" s="114" t="s">
        <v>331</v>
      </c>
      <c r="K132" s="115" t="s">
        <v>5825</v>
      </c>
      <c r="L132" s="114" t="s">
        <v>2052</v>
      </c>
      <c r="M132" s="115" t="s">
        <v>5799</v>
      </c>
    </row>
    <row r="133" spans="1:13" ht="45">
      <c r="A133" s="114">
        <v>25</v>
      </c>
      <c r="B133" s="164" t="s">
        <v>5789</v>
      </c>
      <c r="C133" s="220" t="s">
        <v>347</v>
      </c>
      <c r="D133" s="164" t="s">
        <v>2953</v>
      </c>
      <c r="E133" s="172">
        <v>5840</v>
      </c>
      <c r="F133" s="220" t="s">
        <v>5790</v>
      </c>
      <c r="G133" s="114" t="s">
        <v>5788</v>
      </c>
      <c r="H133" s="206">
        <v>97995.199999999997</v>
      </c>
      <c r="I133" s="114" t="s">
        <v>758</v>
      </c>
      <c r="J133" s="114" t="s">
        <v>331</v>
      </c>
      <c r="K133" s="115" t="s">
        <v>5825</v>
      </c>
      <c r="L133" s="114" t="s">
        <v>2052</v>
      </c>
      <c r="M133" s="115" t="s">
        <v>5799</v>
      </c>
    </row>
    <row r="134" spans="1:13" ht="45">
      <c r="A134" s="114">
        <v>26</v>
      </c>
      <c r="B134" s="164" t="s">
        <v>5791</v>
      </c>
      <c r="C134" s="220" t="s">
        <v>347</v>
      </c>
      <c r="D134" s="164" t="s">
        <v>2953</v>
      </c>
      <c r="E134" s="172">
        <v>5840</v>
      </c>
      <c r="F134" s="220" t="s">
        <v>5790</v>
      </c>
      <c r="G134" s="114" t="s">
        <v>5788</v>
      </c>
      <c r="H134" s="206">
        <v>97995.199999999997</v>
      </c>
      <c r="I134" s="114" t="s">
        <v>758</v>
      </c>
      <c r="J134" s="114" t="s">
        <v>331</v>
      </c>
      <c r="K134" s="115" t="s">
        <v>5825</v>
      </c>
      <c r="L134" s="114" t="s">
        <v>2052</v>
      </c>
      <c r="M134" s="115" t="s">
        <v>5799</v>
      </c>
    </row>
    <row r="135" spans="1:13" ht="30">
      <c r="A135" s="114">
        <v>27</v>
      </c>
      <c r="B135" s="115" t="s">
        <v>5826</v>
      </c>
      <c r="C135" s="114" t="s">
        <v>325</v>
      </c>
      <c r="D135" s="115" t="s">
        <v>2992</v>
      </c>
      <c r="E135" s="115">
        <v>3</v>
      </c>
      <c r="F135" s="115" t="s">
        <v>885</v>
      </c>
      <c r="G135" s="114" t="s">
        <v>5827</v>
      </c>
      <c r="H135" s="206">
        <v>120</v>
      </c>
      <c r="I135" s="114" t="s">
        <v>758</v>
      </c>
      <c r="J135" s="114" t="s">
        <v>351</v>
      </c>
      <c r="K135" s="216">
        <v>45292</v>
      </c>
      <c r="L135" s="46"/>
      <c r="M135" s="115" t="s">
        <v>5799</v>
      </c>
    </row>
    <row r="136" spans="1:13" ht="30">
      <c r="A136" s="114">
        <v>28</v>
      </c>
      <c r="B136" s="115" t="s">
        <v>5828</v>
      </c>
      <c r="C136" s="114" t="s">
        <v>325</v>
      </c>
      <c r="D136" s="115" t="s">
        <v>2992</v>
      </c>
      <c r="E136" s="115">
        <v>3</v>
      </c>
      <c r="F136" s="115" t="s">
        <v>885</v>
      </c>
      <c r="G136" s="114" t="s">
        <v>5827</v>
      </c>
      <c r="H136" s="206">
        <v>350</v>
      </c>
      <c r="I136" s="114" t="s">
        <v>758</v>
      </c>
      <c r="J136" s="114" t="s">
        <v>2994</v>
      </c>
      <c r="K136" s="216">
        <v>45292</v>
      </c>
      <c r="L136" s="46"/>
      <c r="M136" s="115" t="s">
        <v>5799</v>
      </c>
    </row>
    <row r="137" spans="1:13" ht="30">
      <c r="A137" s="114">
        <v>29</v>
      </c>
      <c r="B137" s="115" t="s">
        <v>5829</v>
      </c>
      <c r="C137" s="114" t="s">
        <v>325</v>
      </c>
      <c r="D137" s="115" t="s">
        <v>2992</v>
      </c>
      <c r="E137" s="115">
        <v>3</v>
      </c>
      <c r="F137" s="115" t="s">
        <v>885</v>
      </c>
      <c r="G137" s="114" t="s">
        <v>5830</v>
      </c>
      <c r="H137" s="206">
        <v>600</v>
      </c>
      <c r="I137" s="114" t="s">
        <v>758</v>
      </c>
      <c r="J137" s="114" t="s">
        <v>2994</v>
      </c>
      <c r="K137" s="216">
        <v>45292</v>
      </c>
      <c r="L137" s="46"/>
      <c r="M137" s="115" t="s">
        <v>5799</v>
      </c>
    </row>
    <row r="138" spans="1:13" ht="60">
      <c r="A138" s="114">
        <v>30</v>
      </c>
      <c r="B138" s="115" t="s">
        <v>5831</v>
      </c>
      <c r="C138" s="114" t="s">
        <v>325</v>
      </c>
      <c r="D138" s="115" t="s">
        <v>343</v>
      </c>
      <c r="E138" s="115">
        <v>6</v>
      </c>
      <c r="F138" s="115" t="s">
        <v>885</v>
      </c>
      <c r="G138" s="115" t="s">
        <v>5795</v>
      </c>
      <c r="H138" s="206">
        <v>500</v>
      </c>
      <c r="I138" s="114" t="s">
        <v>758</v>
      </c>
      <c r="J138" s="114" t="s">
        <v>2994</v>
      </c>
      <c r="K138" s="216">
        <v>45292</v>
      </c>
      <c r="L138" s="46"/>
      <c r="M138" s="115" t="s">
        <v>5799</v>
      </c>
    </row>
    <row r="139" spans="1:13" ht="30">
      <c r="A139" s="114">
        <v>31</v>
      </c>
      <c r="B139" s="115" t="s">
        <v>5832</v>
      </c>
      <c r="C139" s="114" t="s">
        <v>325</v>
      </c>
      <c r="D139" s="115" t="s">
        <v>2992</v>
      </c>
      <c r="E139" s="115">
        <v>1</v>
      </c>
      <c r="F139" s="115" t="s">
        <v>885</v>
      </c>
      <c r="G139" s="115" t="s">
        <v>5803</v>
      </c>
      <c r="H139" s="206">
        <v>20000</v>
      </c>
      <c r="I139" s="114" t="s">
        <v>758</v>
      </c>
      <c r="J139" s="114" t="s">
        <v>2994</v>
      </c>
      <c r="K139" s="216">
        <v>45292</v>
      </c>
      <c r="L139" s="46"/>
      <c r="M139" s="115" t="s">
        <v>5799</v>
      </c>
    </row>
    <row r="140" spans="1:13" ht="45">
      <c r="A140" s="114">
        <v>32</v>
      </c>
      <c r="B140" s="115" t="s">
        <v>5833</v>
      </c>
      <c r="C140" s="114" t="s">
        <v>325</v>
      </c>
      <c r="D140" s="115" t="s">
        <v>2992</v>
      </c>
      <c r="E140" s="115">
        <v>2</v>
      </c>
      <c r="F140" s="115" t="s">
        <v>885</v>
      </c>
      <c r="G140" s="115" t="s">
        <v>5793</v>
      </c>
      <c r="H140" s="206">
        <v>200000</v>
      </c>
      <c r="I140" s="114" t="s">
        <v>758</v>
      </c>
      <c r="J140" s="114" t="s">
        <v>2994</v>
      </c>
      <c r="K140" s="216">
        <v>45292</v>
      </c>
      <c r="L140" s="46"/>
      <c r="M140" s="115" t="s">
        <v>5799</v>
      </c>
    </row>
    <row r="141" spans="1:13" ht="30">
      <c r="A141" s="114">
        <v>33</v>
      </c>
      <c r="B141" s="115" t="s">
        <v>5834</v>
      </c>
      <c r="C141" s="114" t="s">
        <v>325</v>
      </c>
      <c r="D141" s="115" t="s">
        <v>2992</v>
      </c>
      <c r="E141" s="115">
        <v>2</v>
      </c>
      <c r="F141" s="115" t="s">
        <v>885</v>
      </c>
      <c r="G141" s="115" t="s">
        <v>5793</v>
      </c>
      <c r="H141" s="206">
        <v>40000</v>
      </c>
      <c r="I141" s="114" t="s">
        <v>758</v>
      </c>
      <c r="J141" s="114" t="s">
        <v>2994</v>
      </c>
      <c r="K141" s="216">
        <v>45292</v>
      </c>
      <c r="L141" s="46"/>
      <c r="M141" s="115" t="s">
        <v>5799</v>
      </c>
    </row>
    <row r="142" spans="1:13" ht="30">
      <c r="A142" s="114">
        <v>34</v>
      </c>
      <c r="B142" s="115" t="s">
        <v>5835</v>
      </c>
      <c r="C142" s="114" t="s">
        <v>325</v>
      </c>
      <c r="D142" s="115" t="s">
        <v>2992</v>
      </c>
      <c r="E142" s="115">
        <v>2</v>
      </c>
      <c r="F142" s="115" t="s">
        <v>885</v>
      </c>
      <c r="G142" s="115" t="s">
        <v>5793</v>
      </c>
      <c r="H142" s="206">
        <v>2000</v>
      </c>
      <c r="I142" s="114" t="s">
        <v>758</v>
      </c>
      <c r="J142" s="114" t="s">
        <v>351</v>
      </c>
      <c r="K142" s="216">
        <v>45292</v>
      </c>
      <c r="L142" s="46"/>
      <c r="M142" s="115" t="s">
        <v>5799</v>
      </c>
    </row>
    <row r="143" spans="1:13" ht="30">
      <c r="A143" s="114">
        <v>35</v>
      </c>
      <c r="B143" s="115" t="s">
        <v>5836</v>
      </c>
      <c r="C143" s="114" t="s">
        <v>325</v>
      </c>
      <c r="D143" s="115" t="s">
        <v>343</v>
      </c>
      <c r="E143" s="115">
        <v>82</v>
      </c>
      <c r="F143" s="115" t="s">
        <v>885</v>
      </c>
      <c r="G143" s="115" t="s">
        <v>5837</v>
      </c>
      <c r="H143" s="206">
        <v>80</v>
      </c>
      <c r="I143" s="114" t="s">
        <v>758</v>
      </c>
      <c r="J143" s="114" t="s">
        <v>2994</v>
      </c>
      <c r="K143" s="216">
        <v>45292</v>
      </c>
      <c r="L143" s="46"/>
      <c r="M143" s="115" t="s">
        <v>5799</v>
      </c>
    </row>
    <row r="144" spans="1:13" ht="45">
      <c r="A144" s="114">
        <v>36</v>
      </c>
      <c r="B144" s="115" t="s">
        <v>5838</v>
      </c>
      <c r="C144" s="114" t="s">
        <v>325</v>
      </c>
      <c r="D144" s="115" t="s">
        <v>343</v>
      </c>
      <c r="E144" s="115">
        <v>82</v>
      </c>
      <c r="F144" s="115" t="s">
        <v>885</v>
      </c>
      <c r="G144" s="115" t="s">
        <v>5837</v>
      </c>
      <c r="H144" s="206">
        <v>280</v>
      </c>
      <c r="I144" s="114" t="s">
        <v>758</v>
      </c>
      <c r="J144" s="114" t="s">
        <v>2994</v>
      </c>
      <c r="K144" s="216">
        <v>45292</v>
      </c>
      <c r="L144" s="46"/>
      <c r="M144" s="115" t="s">
        <v>5799</v>
      </c>
    </row>
    <row r="145" spans="1:13" ht="30">
      <c r="A145" s="114">
        <v>37</v>
      </c>
      <c r="B145" s="115" t="s">
        <v>5839</v>
      </c>
      <c r="C145" s="114" t="s">
        <v>325</v>
      </c>
      <c r="D145" s="115" t="s">
        <v>343</v>
      </c>
      <c r="E145" s="115">
        <v>82</v>
      </c>
      <c r="F145" s="115" t="s">
        <v>885</v>
      </c>
      <c r="G145" s="115" t="s">
        <v>5837</v>
      </c>
      <c r="H145" s="206">
        <v>90</v>
      </c>
      <c r="I145" s="114" t="s">
        <v>758</v>
      </c>
      <c r="J145" s="114" t="s">
        <v>2994</v>
      </c>
      <c r="K145" s="216">
        <v>45292</v>
      </c>
      <c r="L145" s="46"/>
      <c r="M145" s="115" t="s">
        <v>5799</v>
      </c>
    </row>
    <row r="146" spans="1:13" ht="30">
      <c r="A146" s="114">
        <v>38</v>
      </c>
      <c r="B146" s="115" t="s">
        <v>5840</v>
      </c>
      <c r="C146" s="114" t="s">
        <v>325</v>
      </c>
      <c r="D146" s="115" t="s">
        <v>343</v>
      </c>
      <c r="E146" s="115">
        <v>82</v>
      </c>
      <c r="F146" s="115" t="s">
        <v>885</v>
      </c>
      <c r="G146" s="115" t="s">
        <v>5837</v>
      </c>
      <c r="H146" s="206">
        <v>280</v>
      </c>
      <c r="I146" s="114" t="s">
        <v>758</v>
      </c>
      <c r="J146" s="114" t="s">
        <v>2994</v>
      </c>
      <c r="K146" s="216">
        <v>45292</v>
      </c>
      <c r="L146" s="46"/>
      <c r="M146" s="115" t="s">
        <v>5799</v>
      </c>
    </row>
    <row r="147" spans="1:13" ht="30">
      <c r="A147" s="114">
        <v>39</v>
      </c>
      <c r="B147" s="115" t="s">
        <v>5841</v>
      </c>
      <c r="C147" s="114" t="s">
        <v>325</v>
      </c>
      <c r="D147" s="115" t="s">
        <v>343</v>
      </c>
      <c r="E147" s="115">
        <v>20</v>
      </c>
      <c r="F147" s="115" t="s">
        <v>885</v>
      </c>
      <c r="G147" s="115" t="s">
        <v>5837</v>
      </c>
      <c r="H147" s="206">
        <v>200</v>
      </c>
      <c r="I147" s="114" t="s">
        <v>758</v>
      </c>
      <c r="J147" s="114" t="s">
        <v>2994</v>
      </c>
      <c r="K147" s="216">
        <v>45292</v>
      </c>
      <c r="L147" s="46"/>
      <c r="M147" s="115" t="s">
        <v>5799</v>
      </c>
    </row>
    <row r="148" spans="1:13" ht="30">
      <c r="A148" s="114">
        <v>40</v>
      </c>
      <c r="B148" s="115" t="s">
        <v>5842</v>
      </c>
      <c r="C148" s="114" t="s">
        <v>325</v>
      </c>
      <c r="D148" s="115" t="s">
        <v>343</v>
      </c>
      <c r="E148" s="115">
        <v>20</v>
      </c>
      <c r="F148" s="115" t="s">
        <v>885</v>
      </c>
      <c r="G148" s="115" t="s">
        <v>5837</v>
      </c>
      <c r="H148" s="206">
        <v>150</v>
      </c>
      <c r="I148" s="114" t="s">
        <v>758</v>
      </c>
      <c r="J148" s="114" t="s">
        <v>2994</v>
      </c>
      <c r="K148" s="216">
        <v>45292</v>
      </c>
      <c r="L148" s="46"/>
      <c r="M148" s="115" t="s">
        <v>5799</v>
      </c>
    </row>
    <row r="149" spans="1:13" ht="45">
      <c r="A149" s="114">
        <v>41</v>
      </c>
      <c r="B149" s="115" t="s">
        <v>5843</v>
      </c>
      <c r="C149" s="114" t="s">
        <v>325</v>
      </c>
      <c r="D149" s="115" t="s">
        <v>343</v>
      </c>
      <c r="E149" s="115">
        <v>82</v>
      </c>
      <c r="F149" s="115" t="s">
        <v>885</v>
      </c>
      <c r="G149" s="115" t="s">
        <v>5837</v>
      </c>
      <c r="H149" s="206">
        <v>130</v>
      </c>
      <c r="I149" s="114" t="s">
        <v>758</v>
      </c>
      <c r="J149" s="114" t="s">
        <v>2994</v>
      </c>
      <c r="K149" s="216">
        <v>45292</v>
      </c>
      <c r="L149" s="46"/>
      <c r="M149" s="115" t="s">
        <v>5799</v>
      </c>
    </row>
    <row r="150" spans="1:13" ht="30">
      <c r="A150" s="114">
        <v>42</v>
      </c>
      <c r="B150" s="115" t="s">
        <v>5844</v>
      </c>
      <c r="C150" s="114" t="s">
        <v>325</v>
      </c>
      <c r="D150" s="115" t="s">
        <v>343</v>
      </c>
      <c r="E150" s="115">
        <v>41</v>
      </c>
      <c r="F150" s="115" t="s">
        <v>885</v>
      </c>
      <c r="G150" s="115" t="s">
        <v>5837</v>
      </c>
      <c r="H150" s="206">
        <v>400</v>
      </c>
      <c r="I150" s="114" t="s">
        <v>758</v>
      </c>
      <c r="J150" s="114" t="s">
        <v>2994</v>
      </c>
      <c r="K150" s="216">
        <v>45292</v>
      </c>
      <c r="L150" s="46"/>
      <c r="M150" s="115" t="s">
        <v>5799</v>
      </c>
    </row>
    <row r="151" spans="1:13" ht="30">
      <c r="A151" s="114">
        <v>43</v>
      </c>
      <c r="B151" s="115" t="s">
        <v>5845</v>
      </c>
      <c r="C151" s="114" t="s">
        <v>325</v>
      </c>
      <c r="D151" s="115" t="s">
        <v>343</v>
      </c>
      <c r="E151" s="115">
        <v>20</v>
      </c>
      <c r="F151" s="115" t="s">
        <v>885</v>
      </c>
      <c r="G151" s="115" t="s">
        <v>5837</v>
      </c>
      <c r="H151" s="206">
        <v>400</v>
      </c>
      <c r="I151" s="114" t="s">
        <v>758</v>
      </c>
      <c r="J151" s="114" t="s">
        <v>2994</v>
      </c>
      <c r="K151" s="216">
        <v>45292</v>
      </c>
      <c r="L151" s="46"/>
      <c r="M151" s="115" t="s">
        <v>5799</v>
      </c>
    </row>
    <row r="152" spans="1:13" ht="45">
      <c r="A152" s="114">
        <v>44</v>
      </c>
      <c r="B152" s="115" t="s">
        <v>5846</v>
      </c>
      <c r="C152" s="114" t="s">
        <v>325</v>
      </c>
      <c r="D152" s="115" t="s">
        <v>343</v>
      </c>
      <c r="E152" s="115">
        <v>41</v>
      </c>
      <c r="F152" s="115" t="s">
        <v>885</v>
      </c>
      <c r="G152" s="115" t="s">
        <v>5837</v>
      </c>
      <c r="H152" s="206">
        <v>500</v>
      </c>
      <c r="I152" s="114" t="s">
        <v>758</v>
      </c>
      <c r="J152" s="114" t="s">
        <v>2994</v>
      </c>
      <c r="K152" s="216">
        <v>45292</v>
      </c>
      <c r="L152" s="46"/>
      <c r="M152" s="115" t="s">
        <v>5799</v>
      </c>
    </row>
    <row r="153" spans="1:13" ht="30">
      <c r="A153" s="114">
        <v>45</v>
      </c>
      <c r="B153" s="115" t="s">
        <v>5847</v>
      </c>
      <c r="C153" s="114" t="s">
        <v>325</v>
      </c>
      <c r="D153" s="115" t="s">
        <v>343</v>
      </c>
      <c r="E153" s="115">
        <v>20</v>
      </c>
      <c r="F153" s="115" t="s">
        <v>885</v>
      </c>
      <c r="G153" s="115" t="s">
        <v>5837</v>
      </c>
      <c r="H153" s="206">
        <v>550</v>
      </c>
      <c r="I153" s="114" t="s">
        <v>758</v>
      </c>
      <c r="J153" s="114" t="s">
        <v>2994</v>
      </c>
      <c r="K153" s="216">
        <v>45292</v>
      </c>
      <c r="L153" s="46"/>
      <c r="M153" s="115" t="s">
        <v>5799</v>
      </c>
    </row>
    <row r="154" spans="1:13" ht="30">
      <c r="A154" s="114">
        <v>46</v>
      </c>
      <c r="B154" s="115" t="s">
        <v>5848</v>
      </c>
      <c r="C154" s="114" t="s">
        <v>325</v>
      </c>
      <c r="D154" s="115" t="s">
        <v>343</v>
      </c>
      <c r="E154" s="115">
        <v>82</v>
      </c>
      <c r="F154" s="115" t="s">
        <v>885</v>
      </c>
      <c r="G154" s="115" t="s">
        <v>5837</v>
      </c>
      <c r="H154" s="206">
        <v>65</v>
      </c>
      <c r="I154" s="114" t="s">
        <v>758</v>
      </c>
      <c r="J154" s="114" t="s">
        <v>2994</v>
      </c>
      <c r="K154" s="216">
        <v>45292</v>
      </c>
      <c r="L154" s="46"/>
      <c r="M154" s="115" t="s">
        <v>5799</v>
      </c>
    </row>
    <row r="155" spans="1:13" ht="45">
      <c r="A155" s="114">
        <v>47</v>
      </c>
      <c r="B155" s="115" t="s">
        <v>5849</v>
      </c>
      <c r="C155" s="114" t="s">
        <v>325</v>
      </c>
      <c r="D155" s="115" t="s">
        <v>343</v>
      </c>
      <c r="E155" s="115">
        <v>82</v>
      </c>
      <c r="F155" s="115" t="s">
        <v>885</v>
      </c>
      <c r="G155" s="115" t="s">
        <v>5837</v>
      </c>
      <c r="H155" s="206">
        <v>25</v>
      </c>
      <c r="I155" s="114" t="s">
        <v>758</v>
      </c>
      <c r="J155" s="114" t="s">
        <v>2994</v>
      </c>
      <c r="K155" s="216">
        <v>45292</v>
      </c>
      <c r="L155" s="46"/>
      <c r="M155" s="115" t="s">
        <v>5799</v>
      </c>
    </row>
    <row r="156" spans="1:13" ht="30">
      <c r="A156" s="114">
        <v>48</v>
      </c>
      <c r="B156" s="115" t="s">
        <v>5850</v>
      </c>
      <c r="C156" s="114" t="s">
        <v>325</v>
      </c>
      <c r="D156" s="115" t="s">
        <v>343</v>
      </c>
      <c r="E156" s="115">
        <v>82</v>
      </c>
      <c r="F156" s="115" t="s">
        <v>885</v>
      </c>
      <c r="G156" s="115" t="s">
        <v>5837</v>
      </c>
      <c r="H156" s="206">
        <v>35</v>
      </c>
      <c r="I156" s="114" t="s">
        <v>758</v>
      </c>
      <c r="J156" s="114" t="s">
        <v>2994</v>
      </c>
      <c r="K156" s="216">
        <v>45292</v>
      </c>
      <c r="L156" s="46"/>
      <c r="M156" s="115" t="s">
        <v>5799</v>
      </c>
    </row>
    <row r="157" spans="1:13" ht="30">
      <c r="A157" s="114">
        <v>49</v>
      </c>
      <c r="B157" s="115" t="s">
        <v>5851</v>
      </c>
      <c r="C157" s="114" t="s">
        <v>325</v>
      </c>
      <c r="D157" s="115" t="s">
        <v>343</v>
      </c>
      <c r="E157" s="115">
        <v>41</v>
      </c>
      <c r="F157" s="115" t="s">
        <v>885</v>
      </c>
      <c r="G157" s="115" t="s">
        <v>5837</v>
      </c>
      <c r="H157" s="206">
        <v>150</v>
      </c>
      <c r="I157" s="114" t="s">
        <v>758</v>
      </c>
      <c r="J157" s="114" t="s">
        <v>2994</v>
      </c>
      <c r="K157" s="216">
        <v>45292</v>
      </c>
      <c r="L157" s="46"/>
      <c r="M157" s="115" t="s">
        <v>5799</v>
      </c>
    </row>
    <row r="158" spans="1:13" ht="30">
      <c r="A158" s="114">
        <v>50</v>
      </c>
      <c r="B158" s="114" t="s">
        <v>5852</v>
      </c>
      <c r="C158" s="114" t="s">
        <v>325</v>
      </c>
      <c r="D158" s="115" t="s">
        <v>343</v>
      </c>
      <c r="E158" s="115">
        <v>41</v>
      </c>
      <c r="F158" s="115" t="s">
        <v>885</v>
      </c>
      <c r="G158" s="115" t="s">
        <v>5837</v>
      </c>
      <c r="H158" s="206">
        <v>35</v>
      </c>
      <c r="I158" s="114" t="s">
        <v>758</v>
      </c>
      <c r="J158" s="114" t="s">
        <v>2994</v>
      </c>
      <c r="K158" s="216">
        <v>45292</v>
      </c>
      <c r="L158" s="46"/>
      <c r="M158" s="115" t="s">
        <v>5799</v>
      </c>
    </row>
    <row r="159" spans="1:13" ht="30">
      <c r="A159" s="114">
        <v>51</v>
      </c>
      <c r="B159" s="114" t="s">
        <v>5853</v>
      </c>
      <c r="C159" s="114" t="s">
        <v>325</v>
      </c>
      <c r="D159" s="115" t="s">
        <v>343</v>
      </c>
      <c r="E159" s="115">
        <v>41</v>
      </c>
      <c r="F159" s="115" t="s">
        <v>885</v>
      </c>
      <c r="G159" s="115" t="s">
        <v>5837</v>
      </c>
      <c r="H159" s="206">
        <v>150</v>
      </c>
      <c r="I159" s="114" t="s">
        <v>758</v>
      </c>
      <c r="J159" s="114" t="s">
        <v>2994</v>
      </c>
      <c r="K159" s="216">
        <v>45292</v>
      </c>
      <c r="L159" s="46"/>
      <c r="M159" s="115" t="s">
        <v>5799</v>
      </c>
    </row>
    <row r="160" spans="1:13" ht="30">
      <c r="A160" s="114">
        <v>52</v>
      </c>
      <c r="B160" s="114" t="s">
        <v>5854</v>
      </c>
      <c r="C160" s="114" t="s">
        <v>325</v>
      </c>
      <c r="D160" s="115" t="s">
        <v>343</v>
      </c>
      <c r="E160" s="115">
        <v>15</v>
      </c>
      <c r="F160" s="115" t="s">
        <v>885</v>
      </c>
      <c r="G160" s="115" t="s">
        <v>5837</v>
      </c>
      <c r="H160" s="206">
        <v>150</v>
      </c>
      <c r="I160" s="114" t="s">
        <v>758</v>
      </c>
      <c r="J160" s="114" t="s">
        <v>2994</v>
      </c>
      <c r="K160" s="216">
        <v>45292</v>
      </c>
      <c r="L160" s="46"/>
      <c r="M160" s="115" t="s">
        <v>5799</v>
      </c>
    </row>
    <row r="161" spans="1:13" ht="30">
      <c r="A161" s="114">
        <v>53</v>
      </c>
      <c r="B161" s="114" t="s">
        <v>5855</v>
      </c>
      <c r="C161" s="114" t="s">
        <v>325</v>
      </c>
      <c r="D161" s="115" t="s">
        <v>343</v>
      </c>
      <c r="E161" s="115">
        <v>40</v>
      </c>
      <c r="F161" s="115" t="s">
        <v>885</v>
      </c>
      <c r="G161" s="115" t="s">
        <v>5837</v>
      </c>
      <c r="H161" s="206">
        <v>20</v>
      </c>
      <c r="I161" s="114" t="s">
        <v>758</v>
      </c>
      <c r="J161" s="114" t="s">
        <v>2994</v>
      </c>
      <c r="K161" s="216">
        <v>45292</v>
      </c>
      <c r="L161" s="46"/>
      <c r="M161" s="115" t="s">
        <v>5799</v>
      </c>
    </row>
    <row r="162" spans="1:13" ht="30">
      <c r="A162" s="114">
        <v>54</v>
      </c>
      <c r="B162" s="115" t="s">
        <v>5856</v>
      </c>
      <c r="C162" s="114" t="s">
        <v>325</v>
      </c>
      <c r="D162" s="115" t="s">
        <v>343</v>
      </c>
      <c r="E162" s="115">
        <v>40</v>
      </c>
      <c r="F162" s="115" t="s">
        <v>885</v>
      </c>
      <c r="G162" s="115" t="s">
        <v>5837</v>
      </c>
      <c r="H162" s="206">
        <v>6</v>
      </c>
      <c r="I162" s="114" t="s">
        <v>758</v>
      </c>
      <c r="J162" s="114" t="s">
        <v>2994</v>
      </c>
      <c r="K162" s="216">
        <v>45292</v>
      </c>
      <c r="L162" s="46"/>
      <c r="M162" s="115" t="s">
        <v>5799</v>
      </c>
    </row>
    <row r="163" spans="1:13" ht="30">
      <c r="A163" s="114">
        <v>55</v>
      </c>
      <c r="B163" s="114" t="s">
        <v>5857</v>
      </c>
      <c r="C163" s="114" t="s">
        <v>325</v>
      </c>
      <c r="D163" s="115" t="s">
        <v>343</v>
      </c>
      <c r="E163" s="115">
        <v>25</v>
      </c>
      <c r="F163" s="115" t="s">
        <v>885</v>
      </c>
      <c r="G163" s="115" t="s">
        <v>5803</v>
      </c>
      <c r="H163" s="206">
        <v>40</v>
      </c>
      <c r="I163" s="114" t="s">
        <v>758</v>
      </c>
      <c r="J163" s="114" t="s">
        <v>2994</v>
      </c>
      <c r="K163" s="216">
        <v>45292</v>
      </c>
      <c r="L163" s="46"/>
      <c r="M163" s="115" t="s">
        <v>5799</v>
      </c>
    </row>
    <row r="164" spans="1:13" ht="30">
      <c r="A164" s="114">
        <v>56</v>
      </c>
      <c r="B164" s="115" t="s">
        <v>5858</v>
      </c>
      <c r="C164" s="114" t="s">
        <v>325</v>
      </c>
      <c r="D164" s="115" t="s">
        <v>343</v>
      </c>
      <c r="E164" s="115">
        <v>25</v>
      </c>
      <c r="F164" s="115" t="s">
        <v>885</v>
      </c>
      <c r="G164" s="115" t="s">
        <v>5803</v>
      </c>
      <c r="H164" s="206">
        <v>260</v>
      </c>
      <c r="I164" s="114" t="s">
        <v>758</v>
      </c>
      <c r="J164" s="114" t="s">
        <v>2994</v>
      </c>
      <c r="K164" s="216">
        <v>45292</v>
      </c>
      <c r="L164" s="46"/>
      <c r="M164" s="115" t="s">
        <v>5799</v>
      </c>
    </row>
    <row r="165" spans="1:13" ht="30">
      <c r="A165" s="114">
        <v>57</v>
      </c>
      <c r="B165" s="115" t="s">
        <v>5859</v>
      </c>
      <c r="C165" s="114" t="s">
        <v>325</v>
      </c>
      <c r="D165" s="115" t="s">
        <v>343</v>
      </c>
      <c r="E165" s="115">
        <v>41</v>
      </c>
      <c r="F165" s="115" t="s">
        <v>885</v>
      </c>
      <c r="G165" s="115" t="s">
        <v>5803</v>
      </c>
      <c r="H165" s="206">
        <v>1700</v>
      </c>
      <c r="I165" s="114" t="s">
        <v>758</v>
      </c>
      <c r="J165" s="114" t="s">
        <v>2994</v>
      </c>
      <c r="K165" s="216">
        <v>45292</v>
      </c>
      <c r="L165" s="46"/>
      <c r="M165" s="115" t="s">
        <v>5799</v>
      </c>
    </row>
    <row r="166" spans="1:13" ht="30">
      <c r="A166" s="114">
        <v>58</v>
      </c>
      <c r="B166" s="115" t="s">
        <v>5860</v>
      </c>
      <c r="C166" s="114" t="s">
        <v>325</v>
      </c>
      <c r="D166" s="115" t="s">
        <v>343</v>
      </c>
      <c r="E166" s="115">
        <v>82</v>
      </c>
      <c r="F166" s="115" t="s">
        <v>885</v>
      </c>
      <c r="G166" s="115" t="s">
        <v>5803</v>
      </c>
      <c r="H166" s="206">
        <v>700</v>
      </c>
      <c r="I166" s="114" t="s">
        <v>758</v>
      </c>
      <c r="J166" s="114" t="s">
        <v>2994</v>
      </c>
      <c r="K166" s="216">
        <v>45292</v>
      </c>
      <c r="L166" s="46"/>
      <c r="M166" s="115" t="s">
        <v>5799</v>
      </c>
    </row>
    <row r="167" spans="1:13" ht="30">
      <c r="A167" s="114">
        <v>59</v>
      </c>
      <c r="B167" s="115" t="s">
        <v>5861</v>
      </c>
      <c r="C167" s="114" t="s">
        <v>325</v>
      </c>
      <c r="D167" s="115" t="s">
        <v>2992</v>
      </c>
      <c r="E167" s="115">
        <v>10</v>
      </c>
      <c r="F167" s="115" t="s">
        <v>885</v>
      </c>
      <c r="G167" s="115" t="s">
        <v>5862</v>
      </c>
      <c r="H167" s="206">
        <v>2000</v>
      </c>
      <c r="I167" s="114" t="s">
        <v>758</v>
      </c>
      <c r="J167" s="114" t="s">
        <v>2994</v>
      </c>
      <c r="K167" s="216">
        <v>45292</v>
      </c>
      <c r="L167" s="46"/>
      <c r="M167" s="115" t="s">
        <v>5799</v>
      </c>
    </row>
    <row r="168" spans="1:13" ht="30">
      <c r="A168" s="114">
        <v>60</v>
      </c>
      <c r="B168" s="115" t="s">
        <v>5863</v>
      </c>
      <c r="C168" s="114" t="s">
        <v>325</v>
      </c>
      <c r="D168" s="115" t="s">
        <v>343</v>
      </c>
      <c r="E168" s="115">
        <v>41</v>
      </c>
      <c r="F168" s="115" t="s">
        <v>885</v>
      </c>
      <c r="G168" s="115" t="s">
        <v>5803</v>
      </c>
      <c r="H168" s="206">
        <v>40</v>
      </c>
      <c r="I168" s="114" t="s">
        <v>758</v>
      </c>
      <c r="J168" s="114" t="s">
        <v>2994</v>
      </c>
      <c r="K168" s="216">
        <v>45292</v>
      </c>
      <c r="L168" s="46"/>
      <c r="M168" s="115" t="s">
        <v>5799</v>
      </c>
    </row>
    <row r="169" spans="1:13" ht="30">
      <c r="A169" s="114">
        <v>61</v>
      </c>
      <c r="B169" s="114" t="s">
        <v>5864</v>
      </c>
      <c r="C169" s="114" t="s">
        <v>325</v>
      </c>
      <c r="D169" s="115" t="s">
        <v>2992</v>
      </c>
      <c r="E169" s="115">
        <v>12</v>
      </c>
      <c r="F169" s="115" t="s">
        <v>885</v>
      </c>
      <c r="G169" s="115" t="s">
        <v>3054</v>
      </c>
      <c r="H169" s="206">
        <v>3500</v>
      </c>
      <c r="I169" s="114" t="s">
        <v>758</v>
      </c>
      <c r="J169" s="114" t="s">
        <v>2994</v>
      </c>
      <c r="K169" s="216">
        <v>45292</v>
      </c>
      <c r="L169" s="46"/>
      <c r="M169" s="115" t="s">
        <v>5799</v>
      </c>
    </row>
    <row r="170" spans="1:13" ht="60">
      <c r="A170" s="114">
        <v>62</v>
      </c>
      <c r="B170" s="114" t="s">
        <v>5865</v>
      </c>
      <c r="C170" s="114" t="s">
        <v>325</v>
      </c>
      <c r="D170" s="115" t="s">
        <v>343</v>
      </c>
      <c r="E170" s="115">
        <v>14</v>
      </c>
      <c r="F170" s="115" t="s">
        <v>885</v>
      </c>
      <c r="G170" s="115" t="s">
        <v>5866</v>
      </c>
      <c r="H170" s="206">
        <v>15</v>
      </c>
      <c r="I170" s="114" t="s">
        <v>758</v>
      </c>
      <c r="J170" s="114" t="s">
        <v>2994</v>
      </c>
      <c r="K170" s="216">
        <v>45292</v>
      </c>
      <c r="L170" s="46"/>
      <c r="M170" s="115" t="s">
        <v>5799</v>
      </c>
    </row>
    <row r="171" spans="1:13" ht="60">
      <c r="A171" s="114">
        <v>63</v>
      </c>
      <c r="B171" s="114" t="s">
        <v>5867</v>
      </c>
      <c r="C171" s="114" t="s">
        <v>325</v>
      </c>
      <c r="D171" s="115" t="s">
        <v>343</v>
      </c>
      <c r="E171" s="115">
        <v>5</v>
      </c>
      <c r="F171" s="114" t="s">
        <v>5868</v>
      </c>
      <c r="G171" s="115" t="s">
        <v>5866</v>
      </c>
      <c r="H171" s="206">
        <v>40</v>
      </c>
      <c r="I171" s="114" t="s">
        <v>758</v>
      </c>
      <c r="J171" s="114" t="s">
        <v>2994</v>
      </c>
      <c r="K171" s="216">
        <v>45292</v>
      </c>
      <c r="L171" s="46"/>
      <c r="M171" s="115" t="s">
        <v>5799</v>
      </c>
    </row>
    <row r="172" spans="1:13" ht="60">
      <c r="A172" s="114">
        <v>64</v>
      </c>
      <c r="B172" s="114" t="s">
        <v>5869</v>
      </c>
      <c r="C172" s="114" t="s">
        <v>325</v>
      </c>
      <c r="D172" s="115" t="s">
        <v>343</v>
      </c>
      <c r="E172" s="115">
        <v>5</v>
      </c>
      <c r="F172" s="114" t="s">
        <v>5868</v>
      </c>
      <c r="G172" s="115" t="s">
        <v>5866</v>
      </c>
      <c r="H172" s="206">
        <v>40</v>
      </c>
      <c r="I172" s="114" t="s">
        <v>758</v>
      </c>
      <c r="J172" s="114" t="s">
        <v>2994</v>
      </c>
      <c r="K172" s="216">
        <v>45292</v>
      </c>
      <c r="L172" s="46"/>
      <c r="M172" s="115" t="s">
        <v>5799</v>
      </c>
    </row>
    <row r="173" spans="1:13" ht="60">
      <c r="A173" s="114">
        <v>65</v>
      </c>
      <c r="B173" s="114" t="s">
        <v>5870</v>
      </c>
      <c r="C173" s="114" t="s">
        <v>325</v>
      </c>
      <c r="D173" s="115" t="s">
        <v>343</v>
      </c>
      <c r="E173" s="115">
        <v>10</v>
      </c>
      <c r="F173" s="114" t="s">
        <v>5871</v>
      </c>
      <c r="G173" s="115" t="s">
        <v>5866</v>
      </c>
      <c r="H173" s="206">
        <v>300</v>
      </c>
      <c r="I173" s="114" t="s">
        <v>758</v>
      </c>
      <c r="J173" s="114" t="s">
        <v>2994</v>
      </c>
      <c r="K173" s="216">
        <v>45292</v>
      </c>
      <c r="L173" s="46"/>
      <c r="M173" s="115" t="s">
        <v>5799</v>
      </c>
    </row>
    <row r="174" spans="1:13" ht="60">
      <c r="A174" s="114">
        <v>66</v>
      </c>
      <c r="B174" s="115" t="s">
        <v>5872</v>
      </c>
      <c r="C174" s="114" t="s">
        <v>325</v>
      </c>
      <c r="D174" s="115" t="s">
        <v>343</v>
      </c>
      <c r="E174" s="115">
        <v>6</v>
      </c>
      <c r="F174" s="114" t="s">
        <v>885</v>
      </c>
      <c r="G174" s="115" t="s">
        <v>5795</v>
      </c>
      <c r="H174" s="206">
        <v>600</v>
      </c>
      <c r="I174" s="114" t="s">
        <v>758</v>
      </c>
      <c r="J174" s="114" t="s">
        <v>2994</v>
      </c>
      <c r="K174" s="216">
        <v>45292</v>
      </c>
      <c r="L174" s="46"/>
      <c r="M174" s="115" t="s">
        <v>5799</v>
      </c>
    </row>
    <row r="175" spans="1:13" ht="30">
      <c r="A175" s="114">
        <v>67</v>
      </c>
      <c r="B175" s="115" t="s">
        <v>5873</v>
      </c>
      <c r="C175" s="114" t="s">
        <v>325</v>
      </c>
      <c r="D175" s="115" t="s">
        <v>343</v>
      </c>
      <c r="E175" s="115">
        <v>8</v>
      </c>
      <c r="F175" s="114" t="s">
        <v>885</v>
      </c>
      <c r="G175" s="115" t="s">
        <v>5837</v>
      </c>
      <c r="H175" s="206">
        <v>450</v>
      </c>
      <c r="I175" s="114" t="s">
        <v>758</v>
      </c>
      <c r="J175" s="114" t="s">
        <v>2994</v>
      </c>
      <c r="K175" s="216">
        <v>45292</v>
      </c>
      <c r="L175" s="46"/>
      <c r="M175" s="115" t="s">
        <v>5799</v>
      </c>
    </row>
    <row r="176" spans="1:13" ht="30">
      <c r="A176" s="114">
        <v>68</v>
      </c>
      <c r="B176" s="115" t="s">
        <v>5874</v>
      </c>
      <c r="C176" s="114" t="s">
        <v>325</v>
      </c>
      <c r="D176" s="115" t="s">
        <v>343</v>
      </c>
      <c r="E176" s="115">
        <v>41</v>
      </c>
      <c r="F176" s="114" t="s">
        <v>885</v>
      </c>
      <c r="G176" s="115" t="s">
        <v>5803</v>
      </c>
      <c r="H176" s="206">
        <v>210</v>
      </c>
      <c r="I176" s="114" t="s">
        <v>758</v>
      </c>
      <c r="J176" s="114" t="s">
        <v>2994</v>
      </c>
      <c r="K176" s="216">
        <v>45292</v>
      </c>
      <c r="L176" s="46"/>
      <c r="M176" s="115" t="s">
        <v>5799</v>
      </c>
    </row>
    <row r="177" spans="1:13" ht="45">
      <c r="A177" s="114">
        <v>69</v>
      </c>
      <c r="B177" s="115" t="s">
        <v>5875</v>
      </c>
      <c r="C177" s="114" t="s">
        <v>325</v>
      </c>
      <c r="D177" s="115" t="s">
        <v>343</v>
      </c>
      <c r="E177" s="115">
        <v>41</v>
      </c>
      <c r="F177" s="114" t="s">
        <v>885</v>
      </c>
      <c r="G177" s="115" t="s">
        <v>5837</v>
      </c>
      <c r="H177" s="206">
        <v>200</v>
      </c>
      <c r="I177" s="114" t="s">
        <v>758</v>
      </c>
      <c r="J177" s="114" t="s">
        <v>2994</v>
      </c>
      <c r="K177" s="216">
        <v>45292</v>
      </c>
      <c r="L177" s="46"/>
      <c r="M177" s="115" t="s">
        <v>5799</v>
      </c>
    </row>
    <row r="178" spans="1:13" ht="30">
      <c r="A178" s="114">
        <v>70</v>
      </c>
      <c r="B178" s="115" t="s">
        <v>5876</v>
      </c>
      <c r="C178" s="114" t="s">
        <v>325</v>
      </c>
      <c r="D178" s="115" t="s">
        <v>343</v>
      </c>
      <c r="E178" s="115">
        <v>7</v>
      </c>
      <c r="F178" s="114" t="s">
        <v>885</v>
      </c>
      <c r="G178" s="115" t="s">
        <v>5837</v>
      </c>
      <c r="H178" s="206">
        <v>130</v>
      </c>
      <c r="I178" s="114" t="s">
        <v>758</v>
      </c>
      <c r="J178" s="114" t="s">
        <v>2994</v>
      </c>
      <c r="K178" s="216">
        <v>45292</v>
      </c>
      <c r="L178" s="46"/>
      <c r="M178" s="115" t="s">
        <v>5799</v>
      </c>
    </row>
    <row r="179" spans="1:13" ht="30">
      <c r="A179" s="114">
        <v>71</v>
      </c>
      <c r="B179" s="115" t="s">
        <v>5877</v>
      </c>
      <c r="C179" s="114" t="s">
        <v>325</v>
      </c>
      <c r="D179" s="115" t="s">
        <v>343</v>
      </c>
      <c r="E179" s="115">
        <v>7</v>
      </c>
      <c r="F179" s="115" t="s">
        <v>885</v>
      </c>
      <c r="G179" s="115" t="s">
        <v>5837</v>
      </c>
      <c r="H179" s="206">
        <v>150</v>
      </c>
      <c r="I179" s="114" t="s">
        <v>758</v>
      </c>
      <c r="J179" s="114" t="s">
        <v>2994</v>
      </c>
      <c r="K179" s="216">
        <v>45292</v>
      </c>
      <c r="L179" s="46"/>
      <c r="M179" s="115" t="s">
        <v>5799</v>
      </c>
    </row>
    <row r="180" spans="1:13" ht="30">
      <c r="A180" s="114">
        <v>72</v>
      </c>
      <c r="B180" s="115" t="s">
        <v>5878</v>
      </c>
      <c r="C180" s="114" t="s">
        <v>325</v>
      </c>
      <c r="D180" s="115" t="s">
        <v>343</v>
      </c>
      <c r="E180" s="115">
        <v>10</v>
      </c>
      <c r="F180" s="115" t="s">
        <v>885</v>
      </c>
      <c r="G180" s="115" t="s">
        <v>5837</v>
      </c>
      <c r="H180" s="206">
        <v>80</v>
      </c>
      <c r="I180" s="114" t="s">
        <v>758</v>
      </c>
      <c r="J180" s="114" t="s">
        <v>2994</v>
      </c>
      <c r="K180" s="216">
        <v>45292</v>
      </c>
      <c r="L180" s="46"/>
      <c r="M180" s="115" t="s">
        <v>5799</v>
      </c>
    </row>
    <row r="181" spans="1:13" ht="30">
      <c r="A181" s="114">
        <v>73</v>
      </c>
      <c r="B181" s="115" t="s">
        <v>5879</v>
      </c>
      <c r="C181" s="114" t="s">
        <v>325</v>
      </c>
      <c r="D181" s="115" t="s">
        <v>343</v>
      </c>
      <c r="E181" s="115">
        <v>12</v>
      </c>
      <c r="F181" s="115" t="s">
        <v>885</v>
      </c>
      <c r="G181" s="115" t="s">
        <v>5837</v>
      </c>
      <c r="H181" s="206">
        <v>80</v>
      </c>
      <c r="I181" s="114" t="s">
        <v>758</v>
      </c>
      <c r="J181" s="114" t="s">
        <v>2994</v>
      </c>
      <c r="K181" s="216">
        <v>45292</v>
      </c>
      <c r="L181" s="46"/>
      <c r="M181" s="115" t="s">
        <v>5799</v>
      </c>
    </row>
    <row r="182" spans="1:13" ht="30">
      <c r="A182" s="114">
        <v>74</v>
      </c>
      <c r="B182" s="115" t="s">
        <v>5880</v>
      </c>
      <c r="C182" s="114" t="s">
        <v>325</v>
      </c>
      <c r="D182" s="115" t="s">
        <v>343</v>
      </c>
      <c r="E182" s="115">
        <v>6</v>
      </c>
      <c r="F182" s="115" t="s">
        <v>885</v>
      </c>
      <c r="G182" s="115" t="s">
        <v>5803</v>
      </c>
      <c r="H182" s="206">
        <v>150</v>
      </c>
      <c r="I182" s="114" t="s">
        <v>758</v>
      </c>
      <c r="J182" s="114" t="s">
        <v>2994</v>
      </c>
      <c r="K182" s="216">
        <v>45292</v>
      </c>
      <c r="L182" s="46"/>
      <c r="M182" s="115" t="s">
        <v>5799</v>
      </c>
    </row>
    <row r="183" spans="1:13" ht="30">
      <c r="A183" s="114">
        <v>75</v>
      </c>
      <c r="B183" s="115" t="s">
        <v>5881</v>
      </c>
      <c r="C183" s="114" t="s">
        <v>325</v>
      </c>
      <c r="D183" s="115" t="s">
        <v>343</v>
      </c>
      <c r="E183" s="115">
        <v>10</v>
      </c>
      <c r="F183" s="115" t="s">
        <v>885</v>
      </c>
      <c r="G183" s="115" t="s">
        <v>5803</v>
      </c>
      <c r="H183" s="206">
        <v>450</v>
      </c>
      <c r="I183" s="114" t="s">
        <v>758</v>
      </c>
      <c r="J183" s="114" t="s">
        <v>2994</v>
      </c>
      <c r="K183" s="216">
        <v>45292</v>
      </c>
      <c r="L183" s="46"/>
      <c r="M183" s="115" t="s">
        <v>5799</v>
      </c>
    </row>
    <row r="184" spans="1:13" ht="30">
      <c r="A184" s="114">
        <v>76</v>
      </c>
      <c r="B184" s="115" t="s">
        <v>5882</v>
      </c>
      <c r="C184" s="114" t="s">
        <v>325</v>
      </c>
      <c r="D184" s="115" t="s">
        <v>343</v>
      </c>
      <c r="E184" s="115">
        <v>6</v>
      </c>
      <c r="F184" s="115" t="s">
        <v>885</v>
      </c>
      <c r="G184" s="115" t="s">
        <v>5837</v>
      </c>
      <c r="H184" s="206">
        <v>150</v>
      </c>
      <c r="I184" s="114" t="s">
        <v>758</v>
      </c>
      <c r="J184" s="114" t="s">
        <v>2994</v>
      </c>
      <c r="K184" s="216">
        <v>45292</v>
      </c>
      <c r="L184" s="46"/>
      <c r="M184" s="115" t="s">
        <v>5799</v>
      </c>
    </row>
    <row r="185" spans="1:13" ht="30">
      <c r="A185" s="114">
        <v>77</v>
      </c>
      <c r="B185" s="115" t="s">
        <v>5883</v>
      </c>
      <c r="C185" s="114" t="s">
        <v>325</v>
      </c>
      <c r="D185" s="115" t="s">
        <v>343</v>
      </c>
      <c r="E185" s="115">
        <v>10</v>
      </c>
      <c r="F185" s="115" t="s">
        <v>885</v>
      </c>
      <c r="G185" s="115" t="s">
        <v>5837</v>
      </c>
      <c r="H185" s="206">
        <v>150</v>
      </c>
      <c r="I185" s="114" t="s">
        <v>758</v>
      </c>
      <c r="J185" s="114" t="s">
        <v>2994</v>
      </c>
      <c r="K185" s="216">
        <v>45292</v>
      </c>
      <c r="L185" s="46"/>
      <c r="M185" s="115" t="s">
        <v>5799</v>
      </c>
    </row>
    <row r="186" spans="1:13" ht="30">
      <c r="A186" s="114">
        <v>78</v>
      </c>
      <c r="B186" s="115" t="s">
        <v>5884</v>
      </c>
      <c r="C186" s="114" t="s">
        <v>325</v>
      </c>
      <c r="D186" s="115" t="s">
        <v>2992</v>
      </c>
      <c r="E186" s="115">
        <v>6</v>
      </c>
      <c r="F186" s="115" t="s">
        <v>885</v>
      </c>
      <c r="G186" s="115" t="s">
        <v>5830</v>
      </c>
      <c r="H186" s="206">
        <v>500</v>
      </c>
      <c r="I186" s="114" t="s">
        <v>758</v>
      </c>
      <c r="J186" s="114" t="s">
        <v>2994</v>
      </c>
      <c r="K186" s="216">
        <v>45292</v>
      </c>
      <c r="L186" s="46"/>
      <c r="M186" s="115" t="s">
        <v>5799</v>
      </c>
    </row>
    <row r="187" spans="1:13" ht="45">
      <c r="A187" s="114">
        <v>79</v>
      </c>
      <c r="B187" s="115" t="s">
        <v>5885</v>
      </c>
      <c r="C187" s="114" t="s">
        <v>325</v>
      </c>
      <c r="D187" s="115" t="s">
        <v>343</v>
      </c>
      <c r="E187" s="115">
        <v>16</v>
      </c>
      <c r="F187" s="115" t="s">
        <v>885</v>
      </c>
      <c r="G187" s="115" t="s">
        <v>5803</v>
      </c>
      <c r="H187" s="206">
        <v>3500</v>
      </c>
      <c r="I187" s="114" t="s">
        <v>758</v>
      </c>
      <c r="J187" s="114" t="s">
        <v>2994</v>
      </c>
      <c r="K187" s="216">
        <v>45292</v>
      </c>
      <c r="L187" s="46"/>
      <c r="M187" s="115" t="s">
        <v>5799</v>
      </c>
    </row>
    <row r="188" spans="1:13" ht="30">
      <c r="A188" s="114">
        <v>80</v>
      </c>
      <c r="B188" s="115" t="s">
        <v>5886</v>
      </c>
      <c r="C188" s="114" t="s">
        <v>325</v>
      </c>
      <c r="D188" s="115" t="s">
        <v>343</v>
      </c>
      <c r="E188" s="115">
        <v>4</v>
      </c>
      <c r="F188" s="115" t="s">
        <v>885</v>
      </c>
      <c r="G188" s="115" t="s">
        <v>5803</v>
      </c>
      <c r="H188" s="206">
        <v>80</v>
      </c>
      <c r="I188" s="114" t="s">
        <v>758</v>
      </c>
      <c r="J188" s="114" t="s">
        <v>2994</v>
      </c>
      <c r="K188" s="216">
        <v>45292</v>
      </c>
      <c r="L188" s="46"/>
      <c r="M188" s="115" t="s">
        <v>5799</v>
      </c>
    </row>
    <row r="189" spans="1:13" ht="30">
      <c r="A189" s="114">
        <v>81</v>
      </c>
      <c r="B189" s="115" t="s">
        <v>5887</v>
      </c>
      <c r="C189" s="114" t="s">
        <v>325</v>
      </c>
      <c r="D189" s="115" t="s">
        <v>343</v>
      </c>
      <c r="E189" s="115">
        <v>200</v>
      </c>
      <c r="F189" s="115" t="s">
        <v>885</v>
      </c>
      <c r="G189" s="115" t="s">
        <v>5803</v>
      </c>
      <c r="H189" s="206">
        <v>5</v>
      </c>
      <c r="I189" s="114" t="s">
        <v>758</v>
      </c>
      <c r="J189" s="114" t="s">
        <v>2994</v>
      </c>
      <c r="K189" s="216">
        <v>45292</v>
      </c>
      <c r="L189" s="46"/>
      <c r="M189" s="115" t="s">
        <v>5799</v>
      </c>
    </row>
    <row r="190" spans="1:13" ht="60">
      <c r="A190" s="114">
        <v>82</v>
      </c>
      <c r="B190" s="115" t="s">
        <v>5888</v>
      </c>
      <c r="C190" s="114" t="s">
        <v>325</v>
      </c>
      <c r="D190" s="115" t="s">
        <v>343</v>
      </c>
      <c r="E190" s="115">
        <v>60</v>
      </c>
      <c r="F190" s="115" t="s">
        <v>885</v>
      </c>
      <c r="G190" s="115" t="s">
        <v>5795</v>
      </c>
      <c r="H190" s="206">
        <v>70</v>
      </c>
      <c r="I190" s="114" t="s">
        <v>758</v>
      </c>
      <c r="J190" s="114" t="s">
        <v>2994</v>
      </c>
      <c r="K190" s="216">
        <v>45292</v>
      </c>
      <c r="L190" s="46"/>
      <c r="M190" s="115" t="s">
        <v>5799</v>
      </c>
    </row>
    <row r="191" spans="1:13" ht="60">
      <c r="A191" s="114">
        <v>83</v>
      </c>
      <c r="B191" s="115" t="s">
        <v>5889</v>
      </c>
      <c r="C191" s="114" t="s">
        <v>325</v>
      </c>
      <c r="D191" s="115" t="s">
        <v>343</v>
      </c>
      <c r="E191" s="115">
        <v>60</v>
      </c>
      <c r="F191" s="115" t="s">
        <v>885</v>
      </c>
      <c r="G191" s="115" t="s">
        <v>5795</v>
      </c>
      <c r="H191" s="206">
        <v>70</v>
      </c>
      <c r="I191" s="114" t="s">
        <v>758</v>
      </c>
      <c r="J191" s="114" t="s">
        <v>2994</v>
      </c>
      <c r="K191" s="216">
        <v>45292</v>
      </c>
      <c r="L191" s="46"/>
      <c r="M191" s="115" t="s">
        <v>5799</v>
      </c>
    </row>
    <row r="192" spans="1:13" ht="60">
      <c r="A192" s="114">
        <v>84</v>
      </c>
      <c r="B192" s="115" t="s">
        <v>5890</v>
      </c>
      <c r="C192" s="114" t="s">
        <v>325</v>
      </c>
      <c r="D192" s="115" t="s">
        <v>343</v>
      </c>
      <c r="E192" s="115">
        <v>60</v>
      </c>
      <c r="F192" s="115" t="s">
        <v>885</v>
      </c>
      <c r="G192" s="115" t="s">
        <v>5795</v>
      </c>
      <c r="H192" s="206">
        <v>601</v>
      </c>
      <c r="I192" s="114" t="s">
        <v>758</v>
      </c>
      <c r="J192" s="114" t="s">
        <v>2994</v>
      </c>
      <c r="K192" s="216">
        <v>45292</v>
      </c>
      <c r="L192" s="46"/>
      <c r="M192" s="115" t="s">
        <v>5799</v>
      </c>
    </row>
    <row r="193" spans="1:13" ht="60">
      <c r="A193" s="114">
        <v>85</v>
      </c>
      <c r="B193" s="115" t="s">
        <v>5891</v>
      </c>
      <c r="C193" s="114" t="s">
        <v>325</v>
      </c>
      <c r="D193" s="115" t="s">
        <v>343</v>
      </c>
      <c r="E193" s="115">
        <v>60</v>
      </c>
      <c r="F193" s="115" t="s">
        <v>885</v>
      </c>
      <c r="G193" s="115" t="s">
        <v>5795</v>
      </c>
      <c r="H193" s="206">
        <v>60</v>
      </c>
      <c r="I193" s="114" t="s">
        <v>758</v>
      </c>
      <c r="J193" s="114" t="s">
        <v>2994</v>
      </c>
      <c r="K193" s="216">
        <v>45292</v>
      </c>
      <c r="L193" s="46"/>
      <c r="M193" s="115" t="s">
        <v>5799</v>
      </c>
    </row>
    <row r="194" spans="1:13" ht="45">
      <c r="A194" s="114">
        <v>86</v>
      </c>
      <c r="B194" s="115" t="s">
        <v>5892</v>
      </c>
      <c r="C194" s="114" t="s">
        <v>325</v>
      </c>
      <c r="D194" s="115" t="s">
        <v>2992</v>
      </c>
      <c r="E194" s="115">
        <v>1</v>
      </c>
      <c r="F194" s="115" t="s">
        <v>885</v>
      </c>
      <c r="G194" s="115" t="s">
        <v>5827</v>
      </c>
      <c r="H194" s="206">
        <v>500</v>
      </c>
      <c r="I194" s="114" t="s">
        <v>758</v>
      </c>
      <c r="J194" s="114" t="s">
        <v>2994</v>
      </c>
      <c r="K194" s="216">
        <v>45292</v>
      </c>
      <c r="L194" s="46"/>
      <c r="M194" s="115" t="s">
        <v>5799</v>
      </c>
    </row>
    <row r="195" spans="1:13" ht="45">
      <c r="A195" s="114">
        <v>87</v>
      </c>
      <c r="B195" s="115" t="s">
        <v>5893</v>
      </c>
      <c r="C195" s="114" t="s">
        <v>325</v>
      </c>
      <c r="D195" s="115" t="s">
        <v>2992</v>
      </c>
      <c r="E195" s="115">
        <v>1</v>
      </c>
      <c r="F195" s="115" t="s">
        <v>885</v>
      </c>
      <c r="G195" s="115" t="s">
        <v>5827</v>
      </c>
      <c r="H195" s="206">
        <v>800</v>
      </c>
      <c r="I195" s="114" t="s">
        <v>758</v>
      </c>
      <c r="J195" s="114" t="s">
        <v>2994</v>
      </c>
      <c r="K195" s="216">
        <v>45292</v>
      </c>
      <c r="L195" s="46"/>
      <c r="M195" s="115" t="s">
        <v>5799</v>
      </c>
    </row>
    <row r="196" spans="1:13" ht="60">
      <c r="A196" s="114">
        <v>88</v>
      </c>
      <c r="B196" s="115" t="s">
        <v>5894</v>
      </c>
      <c r="C196" s="114" t="s">
        <v>325</v>
      </c>
      <c r="D196" s="115" t="s">
        <v>343</v>
      </c>
      <c r="E196" s="115">
        <v>1</v>
      </c>
      <c r="F196" s="115" t="s">
        <v>510</v>
      </c>
      <c r="G196" s="115" t="s">
        <v>5795</v>
      </c>
      <c r="H196" s="206">
        <v>50</v>
      </c>
      <c r="I196" s="114" t="s">
        <v>758</v>
      </c>
      <c r="J196" s="114" t="s">
        <v>2994</v>
      </c>
      <c r="K196" s="216">
        <v>45292</v>
      </c>
      <c r="L196" s="46"/>
      <c r="M196" s="115" t="s">
        <v>5799</v>
      </c>
    </row>
    <row r="197" spans="1:13" ht="60">
      <c r="A197" s="114">
        <v>89</v>
      </c>
      <c r="B197" s="115" t="s">
        <v>5895</v>
      </c>
      <c r="C197" s="114" t="s">
        <v>325</v>
      </c>
      <c r="D197" s="115" t="s">
        <v>343</v>
      </c>
      <c r="E197" s="115">
        <v>1</v>
      </c>
      <c r="F197" s="115" t="s">
        <v>510</v>
      </c>
      <c r="G197" s="115" t="s">
        <v>5795</v>
      </c>
      <c r="H197" s="206">
        <v>50</v>
      </c>
      <c r="I197" s="114" t="s">
        <v>758</v>
      </c>
      <c r="J197" s="114" t="s">
        <v>2994</v>
      </c>
      <c r="K197" s="216">
        <v>45292</v>
      </c>
      <c r="L197" s="46"/>
      <c r="M197" s="115" t="s">
        <v>5799</v>
      </c>
    </row>
    <row r="198" spans="1:13" ht="45">
      <c r="A198" s="114">
        <v>90</v>
      </c>
      <c r="B198" s="115" t="s">
        <v>5896</v>
      </c>
      <c r="C198" s="114" t="s">
        <v>325</v>
      </c>
      <c r="D198" s="115" t="s">
        <v>343</v>
      </c>
      <c r="E198" s="115">
        <v>10</v>
      </c>
      <c r="F198" s="115" t="s">
        <v>885</v>
      </c>
      <c r="G198" s="115" t="s">
        <v>5803</v>
      </c>
      <c r="H198" s="206">
        <v>60</v>
      </c>
      <c r="I198" s="114" t="s">
        <v>758</v>
      </c>
      <c r="J198" s="114" t="s">
        <v>2994</v>
      </c>
      <c r="K198" s="216">
        <v>45292</v>
      </c>
      <c r="L198" s="46"/>
      <c r="M198" s="115" t="s">
        <v>5799</v>
      </c>
    </row>
    <row r="199" spans="1:13" ht="30">
      <c r="A199" s="114">
        <v>91</v>
      </c>
      <c r="B199" s="115" t="s">
        <v>5897</v>
      </c>
      <c r="C199" s="114" t="s">
        <v>325</v>
      </c>
      <c r="D199" s="115" t="s">
        <v>343</v>
      </c>
      <c r="E199" s="115">
        <v>41</v>
      </c>
      <c r="F199" s="115" t="s">
        <v>885</v>
      </c>
      <c r="G199" s="115" t="s">
        <v>5803</v>
      </c>
      <c r="H199" s="206">
        <v>12</v>
      </c>
      <c r="I199" s="114" t="s">
        <v>758</v>
      </c>
      <c r="J199" s="114" t="s">
        <v>2994</v>
      </c>
      <c r="K199" s="216">
        <v>45292</v>
      </c>
      <c r="L199" s="46"/>
      <c r="M199" s="115" t="s">
        <v>5799</v>
      </c>
    </row>
    <row r="200" spans="1:13" ht="60">
      <c r="A200" s="114">
        <v>92</v>
      </c>
      <c r="B200" s="115" t="s">
        <v>5898</v>
      </c>
      <c r="C200" s="114" t="s">
        <v>325</v>
      </c>
      <c r="D200" s="115" t="s">
        <v>343</v>
      </c>
      <c r="E200" s="115">
        <v>5000</v>
      </c>
      <c r="F200" s="115" t="s">
        <v>885</v>
      </c>
      <c r="G200" s="115" t="s">
        <v>5795</v>
      </c>
      <c r="H200" s="206">
        <v>5</v>
      </c>
      <c r="I200" s="114" t="s">
        <v>758</v>
      </c>
      <c r="J200" s="114" t="s">
        <v>2994</v>
      </c>
      <c r="K200" s="216">
        <v>45292</v>
      </c>
      <c r="L200" s="46"/>
      <c r="M200" s="115" t="s">
        <v>5799</v>
      </c>
    </row>
    <row r="201" spans="1:13" ht="30">
      <c r="A201" s="114">
        <v>93</v>
      </c>
      <c r="B201" s="115" t="s">
        <v>5899</v>
      </c>
      <c r="C201" s="114" t="s">
        <v>325</v>
      </c>
      <c r="D201" s="115" t="s">
        <v>343</v>
      </c>
      <c r="E201" s="115">
        <v>3</v>
      </c>
      <c r="F201" s="115" t="s">
        <v>510</v>
      </c>
      <c r="G201" s="115" t="s">
        <v>5803</v>
      </c>
      <c r="H201" s="206">
        <v>110</v>
      </c>
      <c r="I201" s="114" t="s">
        <v>758</v>
      </c>
      <c r="J201" s="114" t="s">
        <v>2994</v>
      </c>
      <c r="K201" s="216">
        <v>45292</v>
      </c>
      <c r="L201" s="46"/>
      <c r="M201" s="115" t="s">
        <v>5799</v>
      </c>
    </row>
    <row r="202" spans="1:13" ht="30">
      <c r="A202" s="114">
        <v>94</v>
      </c>
      <c r="B202" s="115" t="s">
        <v>5900</v>
      </c>
      <c r="C202" s="114" t="s">
        <v>325</v>
      </c>
      <c r="D202" s="115" t="s">
        <v>343</v>
      </c>
      <c r="E202" s="115">
        <v>41</v>
      </c>
      <c r="F202" s="115" t="s">
        <v>885</v>
      </c>
      <c r="G202" s="115" t="s">
        <v>5803</v>
      </c>
      <c r="H202" s="206">
        <v>180</v>
      </c>
      <c r="I202" s="114" t="s">
        <v>758</v>
      </c>
      <c r="J202" s="114" t="s">
        <v>2994</v>
      </c>
      <c r="K202" s="216">
        <v>45292</v>
      </c>
      <c r="L202" s="46"/>
      <c r="M202" s="115" t="s">
        <v>5799</v>
      </c>
    </row>
    <row r="203" spans="1:13" ht="30">
      <c r="A203" s="114">
        <v>95</v>
      </c>
      <c r="B203" s="115" t="s">
        <v>5901</v>
      </c>
      <c r="C203" s="114" t="s">
        <v>325</v>
      </c>
      <c r="D203" s="115" t="s">
        <v>2992</v>
      </c>
      <c r="E203" s="115">
        <v>4</v>
      </c>
      <c r="F203" s="115" t="s">
        <v>885</v>
      </c>
      <c r="G203" s="115" t="s">
        <v>5803</v>
      </c>
      <c r="H203" s="206">
        <v>80</v>
      </c>
      <c r="I203" s="114" t="s">
        <v>758</v>
      </c>
      <c r="J203" s="114" t="s">
        <v>2994</v>
      </c>
      <c r="K203" s="216">
        <v>45292</v>
      </c>
      <c r="L203" s="46"/>
      <c r="M203" s="115" t="s">
        <v>5799</v>
      </c>
    </row>
    <row r="204" spans="1:13" ht="30">
      <c r="A204" s="114">
        <v>96</v>
      </c>
      <c r="B204" s="115" t="s">
        <v>5902</v>
      </c>
      <c r="C204" s="114" t="s">
        <v>325</v>
      </c>
      <c r="D204" s="115" t="s">
        <v>343</v>
      </c>
      <c r="E204" s="115">
        <v>2</v>
      </c>
      <c r="F204" s="115" t="s">
        <v>510</v>
      </c>
      <c r="G204" s="115" t="s">
        <v>5803</v>
      </c>
      <c r="H204" s="206">
        <v>40</v>
      </c>
      <c r="I204" s="114" t="s">
        <v>758</v>
      </c>
      <c r="J204" s="114" t="s">
        <v>2994</v>
      </c>
      <c r="K204" s="216">
        <v>45292</v>
      </c>
      <c r="L204" s="46"/>
      <c r="M204" s="115" t="s">
        <v>5799</v>
      </c>
    </row>
    <row r="205" spans="1:13" ht="30">
      <c r="A205" s="114">
        <v>97</v>
      </c>
      <c r="B205" s="115" t="s">
        <v>5903</v>
      </c>
      <c r="C205" s="114" t="s">
        <v>325</v>
      </c>
      <c r="D205" s="115" t="s">
        <v>343</v>
      </c>
      <c r="E205" s="115">
        <v>15</v>
      </c>
      <c r="F205" s="115" t="s">
        <v>885</v>
      </c>
      <c r="G205" s="115" t="s">
        <v>5803</v>
      </c>
      <c r="H205" s="206">
        <v>1000</v>
      </c>
      <c r="I205" s="114" t="s">
        <v>758</v>
      </c>
      <c r="J205" s="114" t="s">
        <v>2994</v>
      </c>
      <c r="K205" s="216">
        <v>45292</v>
      </c>
      <c r="L205" s="46"/>
      <c r="M205" s="115" t="s">
        <v>5799</v>
      </c>
    </row>
    <row r="206" spans="1:13" ht="30">
      <c r="A206" s="114">
        <v>98</v>
      </c>
      <c r="B206" s="115" t="s">
        <v>5904</v>
      </c>
      <c r="C206" s="114" t="s">
        <v>325</v>
      </c>
      <c r="D206" s="115" t="s">
        <v>343</v>
      </c>
      <c r="E206" s="115">
        <v>15</v>
      </c>
      <c r="F206" s="115" t="s">
        <v>885</v>
      </c>
      <c r="G206" s="115" t="s">
        <v>5803</v>
      </c>
      <c r="H206" s="206">
        <v>60</v>
      </c>
      <c r="I206" s="114" t="s">
        <v>758</v>
      </c>
      <c r="J206" s="114" t="s">
        <v>2994</v>
      </c>
      <c r="K206" s="216">
        <v>45292</v>
      </c>
      <c r="L206" s="46"/>
      <c r="M206" s="115" t="s">
        <v>5799</v>
      </c>
    </row>
    <row r="207" spans="1:13" ht="30">
      <c r="A207" s="114">
        <v>99</v>
      </c>
      <c r="B207" s="115" t="s">
        <v>5905</v>
      </c>
      <c r="C207" s="114" t="s">
        <v>325</v>
      </c>
      <c r="D207" s="115" t="s">
        <v>343</v>
      </c>
      <c r="E207" s="115">
        <v>15</v>
      </c>
      <c r="F207" s="115" t="s">
        <v>885</v>
      </c>
      <c r="G207" s="115" t="s">
        <v>5803</v>
      </c>
      <c r="H207" s="206">
        <v>60</v>
      </c>
      <c r="I207" s="114" t="s">
        <v>758</v>
      </c>
      <c r="J207" s="114" t="s">
        <v>2994</v>
      </c>
      <c r="K207" s="216">
        <v>45292</v>
      </c>
      <c r="L207" s="46"/>
      <c r="M207" s="115" t="s">
        <v>5799</v>
      </c>
    </row>
    <row r="208" spans="1:13" ht="30">
      <c r="A208" s="114">
        <v>100</v>
      </c>
      <c r="B208" s="115" t="s">
        <v>5906</v>
      </c>
      <c r="C208" s="114" t="s">
        <v>325</v>
      </c>
      <c r="D208" s="115" t="s">
        <v>343</v>
      </c>
      <c r="E208" s="115">
        <v>150</v>
      </c>
      <c r="F208" s="115" t="s">
        <v>885</v>
      </c>
      <c r="G208" s="115" t="s">
        <v>5907</v>
      </c>
      <c r="H208" s="206">
        <v>80</v>
      </c>
      <c r="I208" s="114" t="s">
        <v>758</v>
      </c>
      <c r="J208" s="114" t="s">
        <v>331</v>
      </c>
      <c r="K208" s="216">
        <v>45292</v>
      </c>
      <c r="L208" s="46"/>
      <c r="M208" s="115" t="s">
        <v>5799</v>
      </c>
    </row>
    <row r="209" spans="1:13" ht="30">
      <c r="A209" s="114">
        <v>101</v>
      </c>
      <c r="B209" s="115" t="s">
        <v>5908</v>
      </c>
      <c r="C209" s="114" t="s">
        <v>325</v>
      </c>
      <c r="D209" s="115" t="s">
        <v>343</v>
      </c>
      <c r="E209" s="115">
        <v>15</v>
      </c>
      <c r="F209" s="115" t="s">
        <v>885</v>
      </c>
      <c r="G209" s="115" t="s">
        <v>5803</v>
      </c>
      <c r="H209" s="206">
        <v>250</v>
      </c>
      <c r="I209" s="114" t="s">
        <v>758</v>
      </c>
      <c r="J209" s="114" t="s">
        <v>2994</v>
      </c>
      <c r="K209" s="216">
        <v>45292</v>
      </c>
      <c r="L209" s="46"/>
      <c r="M209" s="115" t="s">
        <v>5799</v>
      </c>
    </row>
    <row r="210" spans="1:13" ht="30">
      <c r="A210" s="114">
        <v>102</v>
      </c>
      <c r="B210" s="115" t="s">
        <v>5909</v>
      </c>
      <c r="C210" s="114" t="s">
        <v>325</v>
      </c>
      <c r="D210" s="115" t="s">
        <v>343</v>
      </c>
      <c r="E210" s="115">
        <v>10</v>
      </c>
      <c r="F210" s="115" t="s">
        <v>885</v>
      </c>
      <c r="G210" s="115" t="s">
        <v>5803</v>
      </c>
      <c r="H210" s="206">
        <v>350</v>
      </c>
      <c r="I210" s="114" t="s">
        <v>758</v>
      </c>
      <c r="J210" s="114" t="s">
        <v>2994</v>
      </c>
      <c r="K210" s="216">
        <v>45292</v>
      </c>
      <c r="L210" s="46"/>
      <c r="M210" s="115" t="s">
        <v>5799</v>
      </c>
    </row>
    <row r="211" spans="1:13" ht="30">
      <c r="A211" s="114">
        <v>103</v>
      </c>
      <c r="B211" s="115" t="s">
        <v>5910</v>
      </c>
      <c r="C211" s="114" t="s">
        <v>325</v>
      </c>
      <c r="D211" s="115" t="s">
        <v>343</v>
      </c>
      <c r="E211" s="115">
        <v>10</v>
      </c>
      <c r="F211" s="115" t="s">
        <v>885</v>
      </c>
      <c r="G211" s="115" t="s">
        <v>5803</v>
      </c>
      <c r="H211" s="206">
        <v>350</v>
      </c>
      <c r="I211" s="114" t="s">
        <v>758</v>
      </c>
      <c r="J211" s="114" t="s">
        <v>2994</v>
      </c>
      <c r="K211" s="216">
        <v>45292</v>
      </c>
      <c r="L211" s="46"/>
      <c r="M211" s="115" t="s">
        <v>5799</v>
      </c>
    </row>
    <row r="212" spans="1:13" ht="60">
      <c r="A212" s="114">
        <v>104</v>
      </c>
      <c r="B212" s="115" t="s">
        <v>5911</v>
      </c>
      <c r="C212" s="114" t="s">
        <v>325</v>
      </c>
      <c r="D212" s="115" t="s">
        <v>343</v>
      </c>
      <c r="E212" s="115">
        <v>5</v>
      </c>
      <c r="F212" s="115" t="s">
        <v>885</v>
      </c>
      <c r="G212" s="115" t="s">
        <v>5795</v>
      </c>
      <c r="H212" s="206">
        <v>150</v>
      </c>
      <c r="I212" s="114" t="s">
        <v>758</v>
      </c>
      <c r="J212" s="114" t="s">
        <v>331</v>
      </c>
      <c r="K212" s="216">
        <v>45292</v>
      </c>
      <c r="L212" s="46"/>
      <c r="M212" s="115" t="s">
        <v>5799</v>
      </c>
    </row>
    <row r="213" spans="1:13" ht="60">
      <c r="A213" s="114">
        <v>105</v>
      </c>
      <c r="B213" s="115" t="s">
        <v>5912</v>
      </c>
      <c r="C213" s="114" t="s">
        <v>325</v>
      </c>
      <c r="D213" s="115" t="s">
        <v>343</v>
      </c>
      <c r="E213" s="115">
        <v>5</v>
      </c>
      <c r="F213" s="115" t="s">
        <v>885</v>
      </c>
      <c r="G213" s="115" t="s">
        <v>5795</v>
      </c>
      <c r="H213" s="206">
        <v>150</v>
      </c>
      <c r="I213" s="114" t="s">
        <v>758</v>
      </c>
      <c r="J213" s="114" t="s">
        <v>331</v>
      </c>
      <c r="K213" s="216">
        <v>45292</v>
      </c>
      <c r="L213" s="46"/>
      <c r="M213" s="115" t="s">
        <v>5799</v>
      </c>
    </row>
    <row r="214" spans="1:13" ht="60">
      <c r="A214" s="114">
        <v>106</v>
      </c>
      <c r="B214" s="115" t="s">
        <v>5913</v>
      </c>
      <c r="C214" s="114" t="s">
        <v>325</v>
      </c>
      <c r="D214" s="115" t="s">
        <v>343</v>
      </c>
      <c r="E214" s="115">
        <v>5</v>
      </c>
      <c r="F214" s="115" t="s">
        <v>885</v>
      </c>
      <c r="G214" s="115" t="s">
        <v>5795</v>
      </c>
      <c r="H214" s="206">
        <v>150</v>
      </c>
      <c r="I214" s="114" t="s">
        <v>758</v>
      </c>
      <c r="J214" s="114" t="s">
        <v>331</v>
      </c>
      <c r="K214" s="216">
        <v>45292</v>
      </c>
      <c r="L214" s="46"/>
      <c r="M214" s="115" t="s">
        <v>5799</v>
      </c>
    </row>
    <row r="215" spans="1:13" ht="60">
      <c r="A215" s="114">
        <v>107</v>
      </c>
      <c r="B215" s="115" t="s">
        <v>5914</v>
      </c>
      <c r="C215" s="114" t="s">
        <v>325</v>
      </c>
      <c r="D215" s="115" t="s">
        <v>343</v>
      </c>
      <c r="E215" s="115">
        <v>5</v>
      </c>
      <c r="F215" s="115" t="s">
        <v>885</v>
      </c>
      <c r="G215" s="115" t="s">
        <v>5795</v>
      </c>
      <c r="H215" s="206">
        <v>150</v>
      </c>
      <c r="I215" s="114" t="s">
        <v>758</v>
      </c>
      <c r="J215" s="114" t="s">
        <v>351</v>
      </c>
      <c r="K215" s="216">
        <v>45292</v>
      </c>
      <c r="L215" s="46"/>
      <c r="M215" s="115" t="s">
        <v>5799</v>
      </c>
    </row>
    <row r="216" spans="1:13" ht="30">
      <c r="A216" s="114">
        <v>108</v>
      </c>
      <c r="B216" s="115" t="s">
        <v>5915</v>
      </c>
      <c r="C216" s="114" t="s">
        <v>325</v>
      </c>
      <c r="D216" s="115" t="s">
        <v>343</v>
      </c>
      <c r="E216" s="115">
        <v>6</v>
      </c>
      <c r="F216" s="115" t="s">
        <v>885</v>
      </c>
      <c r="G216" s="115" t="s">
        <v>5803</v>
      </c>
      <c r="H216" s="206">
        <v>150</v>
      </c>
      <c r="I216" s="114" t="s">
        <v>758</v>
      </c>
      <c r="J216" s="114" t="s">
        <v>2994</v>
      </c>
      <c r="K216" s="216">
        <v>45292</v>
      </c>
      <c r="L216" s="46"/>
      <c r="M216" s="115" t="s">
        <v>5799</v>
      </c>
    </row>
    <row r="217" spans="1:13" ht="60">
      <c r="A217" s="114">
        <v>109</v>
      </c>
      <c r="B217" s="115" t="s">
        <v>5916</v>
      </c>
      <c r="C217" s="114" t="s">
        <v>325</v>
      </c>
      <c r="D217" s="115" t="s">
        <v>343</v>
      </c>
      <c r="E217" s="115">
        <v>6</v>
      </c>
      <c r="F217" s="115" t="s">
        <v>885</v>
      </c>
      <c r="G217" s="115" t="s">
        <v>5795</v>
      </c>
      <c r="H217" s="206">
        <v>15</v>
      </c>
      <c r="I217" s="114" t="s">
        <v>758</v>
      </c>
      <c r="J217" s="114" t="s">
        <v>2994</v>
      </c>
      <c r="K217" s="216">
        <v>45292</v>
      </c>
      <c r="L217" s="46"/>
      <c r="M217" s="115" t="s">
        <v>5799</v>
      </c>
    </row>
    <row r="218" spans="1:13" ht="30">
      <c r="A218" s="114">
        <v>110</v>
      </c>
      <c r="B218" s="115" t="s">
        <v>5917</v>
      </c>
      <c r="C218" s="114" t="s">
        <v>325</v>
      </c>
      <c r="D218" s="115" t="s">
        <v>343</v>
      </c>
      <c r="E218" s="115">
        <v>41</v>
      </c>
      <c r="F218" s="115" t="s">
        <v>885</v>
      </c>
      <c r="G218" s="115" t="s">
        <v>5803</v>
      </c>
      <c r="H218" s="206">
        <v>110</v>
      </c>
      <c r="I218" s="114" t="s">
        <v>758</v>
      </c>
      <c r="J218" s="114" t="s">
        <v>2994</v>
      </c>
      <c r="K218" s="216">
        <v>45292</v>
      </c>
      <c r="L218" s="46"/>
      <c r="M218" s="115" t="s">
        <v>5799</v>
      </c>
    </row>
    <row r="219" spans="1:13" ht="45">
      <c r="A219" s="114">
        <v>111</v>
      </c>
      <c r="B219" s="115" t="s">
        <v>5918</v>
      </c>
      <c r="C219" s="114" t="s">
        <v>325</v>
      </c>
      <c r="D219" s="115" t="s">
        <v>2992</v>
      </c>
      <c r="E219" s="115">
        <v>1</v>
      </c>
      <c r="F219" s="115" t="s">
        <v>885</v>
      </c>
      <c r="G219" s="115" t="s">
        <v>5803</v>
      </c>
      <c r="H219" s="206">
        <v>1100</v>
      </c>
      <c r="I219" s="114" t="s">
        <v>758</v>
      </c>
      <c r="J219" s="114" t="s">
        <v>2994</v>
      </c>
      <c r="K219" s="216">
        <v>45292</v>
      </c>
      <c r="L219" s="46"/>
      <c r="M219" s="115" t="s">
        <v>5799</v>
      </c>
    </row>
    <row r="220" spans="1:13" ht="45">
      <c r="A220" s="114">
        <v>112</v>
      </c>
      <c r="B220" s="115" t="s">
        <v>5919</v>
      </c>
      <c r="C220" s="114" t="s">
        <v>325</v>
      </c>
      <c r="D220" s="115" t="s">
        <v>2992</v>
      </c>
      <c r="E220" s="115">
        <v>12</v>
      </c>
      <c r="F220" s="115" t="s">
        <v>885</v>
      </c>
      <c r="G220" s="114" t="s">
        <v>5798</v>
      </c>
      <c r="H220" s="206">
        <v>800</v>
      </c>
      <c r="I220" s="114" t="s">
        <v>758</v>
      </c>
      <c r="J220" s="114" t="s">
        <v>2994</v>
      </c>
      <c r="K220" s="216">
        <v>45292</v>
      </c>
      <c r="L220" s="46"/>
      <c r="M220" s="115" t="s">
        <v>5799</v>
      </c>
    </row>
    <row r="221" spans="1:13" ht="45">
      <c r="A221" s="114">
        <v>113</v>
      </c>
      <c r="B221" s="115" t="s">
        <v>5920</v>
      </c>
      <c r="C221" s="114" t="s">
        <v>325</v>
      </c>
      <c r="D221" s="115" t="s">
        <v>343</v>
      </c>
      <c r="E221" s="115">
        <v>3</v>
      </c>
      <c r="F221" s="115" t="s">
        <v>510</v>
      </c>
      <c r="G221" s="114" t="s">
        <v>5817</v>
      </c>
      <c r="H221" s="206">
        <v>90</v>
      </c>
      <c r="I221" s="114" t="s">
        <v>758</v>
      </c>
      <c r="J221" s="114" t="s">
        <v>2994</v>
      </c>
      <c r="K221" s="216">
        <v>45292</v>
      </c>
      <c r="L221" s="46"/>
      <c r="M221" s="115" t="s">
        <v>5799</v>
      </c>
    </row>
    <row r="222" spans="1:13" ht="45">
      <c r="A222" s="114">
        <v>114</v>
      </c>
      <c r="B222" s="115" t="s">
        <v>5921</v>
      </c>
      <c r="C222" s="114" t="s">
        <v>325</v>
      </c>
      <c r="D222" s="115" t="s">
        <v>343</v>
      </c>
      <c r="E222" s="115">
        <v>6</v>
      </c>
      <c r="F222" s="115" t="s">
        <v>885</v>
      </c>
      <c r="G222" s="114" t="s">
        <v>5803</v>
      </c>
      <c r="H222" s="206">
        <v>250</v>
      </c>
      <c r="I222" s="114" t="s">
        <v>758</v>
      </c>
      <c r="J222" s="114" t="s">
        <v>2994</v>
      </c>
      <c r="K222" s="216">
        <v>45292</v>
      </c>
      <c r="L222" s="46"/>
      <c r="M222" s="115" t="s">
        <v>5799</v>
      </c>
    </row>
    <row r="223" spans="1:13" ht="30">
      <c r="A223" s="114">
        <v>115</v>
      </c>
      <c r="B223" s="115" t="s">
        <v>5922</v>
      </c>
      <c r="C223" s="114" t="s">
        <v>325</v>
      </c>
      <c r="D223" s="115" t="s">
        <v>343</v>
      </c>
      <c r="E223" s="115">
        <v>41</v>
      </c>
      <c r="F223" s="115" t="s">
        <v>885</v>
      </c>
      <c r="G223" s="114" t="s">
        <v>5803</v>
      </c>
      <c r="H223" s="206">
        <v>300</v>
      </c>
      <c r="I223" s="114" t="s">
        <v>758</v>
      </c>
      <c r="J223" s="114" t="s">
        <v>2994</v>
      </c>
      <c r="K223" s="216">
        <v>45292</v>
      </c>
      <c r="L223" s="46"/>
      <c r="M223" s="115" t="s">
        <v>5799</v>
      </c>
    </row>
    <row r="224" spans="1:13" ht="30">
      <c r="A224" s="114">
        <v>116</v>
      </c>
      <c r="B224" s="115" t="s">
        <v>5923</v>
      </c>
      <c r="C224" s="114" t="s">
        <v>325</v>
      </c>
      <c r="D224" s="115" t="s">
        <v>343</v>
      </c>
      <c r="E224" s="115">
        <v>6</v>
      </c>
      <c r="F224" s="115" t="s">
        <v>885</v>
      </c>
      <c r="G224" s="114" t="s">
        <v>5830</v>
      </c>
      <c r="H224" s="206">
        <v>60</v>
      </c>
      <c r="I224" s="114" t="s">
        <v>758</v>
      </c>
      <c r="J224" s="114" t="s">
        <v>331</v>
      </c>
      <c r="K224" s="216">
        <v>45292</v>
      </c>
      <c r="L224" s="46"/>
      <c r="M224" s="115" t="s">
        <v>5799</v>
      </c>
    </row>
    <row r="225" spans="1:13" ht="60">
      <c r="A225" s="114">
        <v>117</v>
      </c>
      <c r="B225" s="115" t="s">
        <v>5924</v>
      </c>
      <c r="C225" s="114" t="s">
        <v>325</v>
      </c>
      <c r="D225" s="115" t="s">
        <v>343</v>
      </c>
      <c r="E225" s="115">
        <v>4</v>
      </c>
      <c r="F225" s="115" t="s">
        <v>885</v>
      </c>
      <c r="G225" s="115" t="s">
        <v>5866</v>
      </c>
      <c r="H225" s="206">
        <v>35</v>
      </c>
      <c r="I225" s="114" t="s">
        <v>758</v>
      </c>
      <c r="J225" s="114" t="s">
        <v>331</v>
      </c>
      <c r="K225" s="216">
        <v>45292</v>
      </c>
      <c r="L225" s="46"/>
      <c r="M225" s="115" t="s">
        <v>5799</v>
      </c>
    </row>
    <row r="226" spans="1:13" ht="60">
      <c r="A226" s="114">
        <v>118</v>
      </c>
      <c r="B226" s="115" t="s">
        <v>5925</v>
      </c>
      <c r="C226" s="114" t="s">
        <v>325</v>
      </c>
      <c r="D226" s="115" t="s">
        <v>343</v>
      </c>
      <c r="E226" s="115">
        <v>5</v>
      </c>
      <c r="F226" s="115" t="s">
        <v>885</v>
      </c>
      <c r="G226" s="115" t="s">
        <v>5866</v>
      </c>
      <c r="H226" s="206">
        <v>15</v>
      </c>
      <c r="I226" s="114" t="s">
        <v>758</v>
      </c>
      <c r="J226" s="114" t="s">
        <v>351</v>
      </c>
      <c r="K226" s="216">
        <v>45292</v>
      </c>
      <c r="L226" s="46"/>
      <c r="M226" s="115" t="s">
        <v>5799</v>
      </c>
    </row>
    <row r="227" spans="1:13" ht="60">
      <c r="A227" s="114">
        <v>119</v>
      </c>
      <c r="B227" s="115" t="s">
        <v>5926</v>
      </c>
      <c r="C227" s="114" t="s">
        <v>325</v>
      </c>
      <c r="D227" s="115" t="s">
        <v>343</v>
      </c>
      <c r="E227" s="115">
        <v>41</v>
      </c>
      <c r="F227" s="115" t="s">
        <v>885</v>
      </c>
      <c r="G227" s="115" t="s">
        <v>5795</v>
      </c>
      <c r="H227" s="206">
        <v>90</v>
      </c>
      <c r="I227" s="114" t="s">
        <v>758</v>
      </c>
      <c r="J227" s="114" t="s">
        <v>2994</v>
      </c>
      <c r="K227" s="216">
        <v>45292</v>
      </c>
      <c r="L227" s="46"/>
      <c r="M227" s="115" t="s">
        <v>5799</v>
      </c>
    </row>
    <row r="228" spans="1:13" ht="60">
      <c r="A228" s="114">
        <v>120</v>
      </c>
      <c r="B228" s="115" t="s">
        <v>5927</v>
      </c>
      <c r="C228" s="114" t="s">
        <v>325</v>
      </c>
      <c r="D228" s="115" t="s">
        <v>2992</v>
      </c>
      <c r="E228" s="115">
        <v>1</v>
      </c>
      <c r="F228" s="115" t="s">
        <v>885</v>
      </c>
      <c r="G228" s="115" t="s">
        <v>5795</v>
      </c>
      <c r="H228" s="206">
        <v>3000</v>
      </c>
      <c r="I228" s="114" t="s">
        <v>758</v>
      </c>
      <c r="J228" s="114" t="s">
        <v>2994</v>
      </c>
      <c r="K228" s="216">
        <v>45292</v>
      </c>
      <c r="L228" s="46"/>
      <c r="M228" s="115" t="s">
        <v>5799</v>
      </c>
    </row>
    <row r="229" spans="1:13" ht="60">
      <c r="A229" s="114">
        <v>121</v>
      </c>
      <c r="B229" s="115" t="s">
        <v>5928</v>
      </c>
      <c r="C229" s="114" t="s">
        <v>325</v>
      </c>
      <c r="D229" s="115" t="s">
        <v>2992</v>
      </c>
      <c r="E229" s="115">
        <v>2</v>
      </c>
      <c r="F229" s="115" t="s">
        <v>885</v>
      </c>
      <c r="G229" s="115" t="s">
        <v>5866</v>
      </c>
      <c r="H229" s="206">
        <v>800</v>
      </c>
      <c r="I229" s="114" t="s">
        <v>758</v>
      </c>
      <c r="J229" s="114" t="s">
        <v>2994</v>
      </c>
      <c r="K229" s="216">
        <v>45292</v>
      </c>
      <c r="L229" s="46"/>
      <c r="M229" s="115" t="s">
        <v>5799</v>
      </c>
    </row>
    <row r="230" spans="1:13" ht="60">
      <c r="A230" s="114">
        <v>122</v>
      </c>
      <c r="B230" s="115" t="s">
        <v>5929</v>
      </c>
      <c r="C230" s="114" t="s">
        <v>325</v>
      </c>
      <c r="D230" s="115" t="s">
        <v>343</v>
      </c>
      <c r="E230" s="115">
        <v>41</v>
      </c>
      <c r="F230" s="115" t="s">
        <v>885</v>
      </c>
      <c r="G230" s="115" t="s">
        <v>5795</v>
      </c>
      <c r="H230" s="206">
        <v>100</v>
      </c>
      <c r="I230" s="114" t="s">
        <v>758</v>
      </c>
      <c r="J230" s="114" t="s">
        <v>331</v>
      </c>
      <c r="K230" s="216">
        <v>45292</v>
      </c>
      <c r="L230" s="46"/>
      <c r="M230" s="115" t="s">
        <v>5799</v>
      </c>
    </row>
    <row r="231" spans="1:13" ht="60">
      <c r="A231" s="114">
        <v>123</v>
      </c>
      <c r="B231" s="115" t="s">
        <v>5794</v>
      </c>
      <c r="C231" s="114" t="s">
        <v>325</v>
      </c>
      <c r="D231" s="115" t="s">
        <v>343</v>
      </c>
      <c r="E231" s="115">
        <v>12</v>
      </c>
      <c r="F231" s="115" t="s">
        <v>885</v>
      </c>
      <c r="G231" s="115" t="s">
        <v>5795</v>
      </c>
      <c r="H231" s="206">
        <v>500</v>
      </c>
      <c r="I231" s="114" t="s">
        <v>758</v>
      </c>
      <c r="J231" s="114" t="s">
        <v>331</v>
      </c>
      <c r="K231" s="216">
        <v>45292</v>
      </c>
      <c r="L231" s="46"/>
      <c r="M231" s="115" t="s">
        <v>5799</v>
      </c>
    </row>
  </sheetData>
  <mergeCells count="15">
    <mergeCell ref="M1:M2"/>
    <mergeCell ref="A75:M75"/>
    <mergeCell ref="A108:M108"/>
    <mergeCell ref="G1:G2"/>
    <mergeCell ref="H1:H2"/>
    <mergeCell ref="I1:I2"/>
    <mergeCell ref="J1:J2"/>
    <mergeCell ref="K1:K2"/>
    <mergeCell ref="L1:L2"/>
    <mergeCell ref="A1:A2"/>
    <mergeCell ref="B1:B2"/>
    <mergeCell ref="C1:C2"/>
    <mergeCell ref="D1:D2"/>
    <mergeCell ref="E1:E2"/>
    <mergeCell ref="F1:F2"/>
  </mergeCells>
  <pageMargins left="0.511811024" right="0.511811024" top="0.78740157499999996" bottom="0.78740157499999996" header="0.31496062000000002" footer="0.3149606200000000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1E79D-77C9-4164-82E1-D27A3E815291}">
  <dimension ref="A1:M26"/>
  <sheetViews>
    <sheetView workbookViewId="0">
      <selection activeCell="T4" sqref="T4"/>
    </sheetView>
  </sheetViews>
  <sheetFormatPr defaultRowHeight="15"/>
  <sheetData>
    <row r="1" spans="1:13" ht="90">
      <c r="A1" s="221" t="s">
        <v>0</v>
      </c>
      <c r="B1" s="221" t="s">
        <v>409</v>
      </c>
      <c r="C1" s="221" t="s">
        <v>410</v>
      </c>
      <c r="D1" s="221" t="s">
        <v>1</v>
      </c>
      <c r="E1" s="221" t="s">
        <v>582</v>
      </c>
      <c r="F1" s="221" t="s">
        <v>8</v>
      </c>
      <c r="G1" s="221" t="s">
        <v>412</v>
      </c>
      <c r="H1" s="221" t="s">
        <v>3</v>
      </c>
      <c r="I1" s="221" t="s">
        <v>4</v>
      </c>
      <c r="J1" s="221" t="s">
        <v>5</v>
      </c>
      <c r="K1" s="221" t="s">
        <v>413</v>
      </c>
      <c r="L1" s="221" t="s">
        <v>7</v>
      </c>
      <c r="M1" s="221" t="s">
        <v>12</v>
      </c>
    </row>
    <row r="2" spans="1:13" ht="105">
      <c r="A2" s="222">
        <v>1</v>
      </c>
      <c r="B2" s="222" t="s">
        <v>5930</v>
      </c>
      <c r="C2" s="222" t="s">
        <v>34</v>
      </c>
      <c r="D2" s="222" t="s">
        <v>168</v>
      </c>
      <c r="E2" s="222">
        <v>248</v>
      </c>
      <c r="F2" s="222" t="s">
        <v>756</v>
      </c>
      <c r="G2" s="222" t="s">
        <v>5931</v>
      </c>
      <c r="H2" s="223">
        <v>1033954.48</v>
      </c>
      <c r="I2" s="222" t="s">
        <v>20</v>
      </c>
      <c r="J2" s="222" t="s">
        <v>415</v>
      </c>
      <c r="K2" s="222" t="s">
        <v>5932</v>
      </c>
      <c r="L2" s="222" t="s">
        <v>20</v>
      </c>
      <c r="M2" s="222" t="s">
        <v>5933</v>
      </c>
    </row>
    <row r="3" spans="1:13" ht="105">
      <c r="A3" s="222">
        <v>2</v>
      </c>
      <c r="B3" s="222" t="s">
        <v>414</v>
      </c>
      <c r="C3" s="222" t="s">
        <v>172</v>
      </c>
      <c r="D3" s="222" t="s">
        <v>168</v>
      </c>
      <c r="E3" s="224">
        <v>1729</v>
      </c>
      <c r="F3" s="222" t="s">
        <v>756</v>
      </c>
      <c r="G3" s="222" t="s">
        <v>5934</v>
      </c>
      <c r="H3" s="223">
        <v>20360051.969999999</v>
      </c>
      <c r="I3" s="222" t="s">
        <v>20</v>
      </c>
      <c r="J3" s="222" t="s">
        <v>415</v>
      </c>
      <c r="K3" s="222" t="s">
        <v>5935</v>
      </c>
      <c r="L3" s="222" t="s">
        <v>20</v>
      </c>
      <c r="M3" s="222" t="s">
        <v>5933</v>
      </c>
    </row>
    <row r="4" spans="1:13" ht="105">
      <c r="A4" s="222">
        <v>3</v>
      </c>
      <c r="B4" s="222" t="s">
        <v>418</v>
      </c>
      <c r="C4" s="222" t="s">
        <v>172</v>
      </c>
      <c r="D4" s="6" t="s">
        <v>168</v>
      </c>
      <c r="E4" s="222">
        <v>184</v>
      </c>
      <c r="F4" s="222" t="s">
        <v>756</v>
      </c>
      <c r="G4" s="222" t="s">
        <v>419</v>
      </c>
      <c r="H4" s="225">
        <v>604765.48</v>
      </c>
      <c r="I4" s="222" t="s">
        <v>420</v>
      </c>
      <c r="J4" s="222" t="s">
        <v>421</v>
      </c>
      <c r="K4" s="222" t="s">
        <v>5936</v>
      </c>
      <c r="L4" s="222" t="s">
        <v>20</v>
      </c>
      <c r="M4" s="222" t="s">
        <v>5933</v>
      </c>
    </row>
    <row r="5" spans="1:13" ht="105">
      <c r="A5" s="222">
        <v>4</v>
      </c>
      <c r="B5" s="222" t="s">
        <v>5937</v>
      </c>
      <c r="C5" s="222" t="s">
        <v>34</v>
      </c>
      <c r="D5" s="6" t="s">
        <v>168</v>
      </c>
      <c r="E5" s="222">
        <v>9</v>
      </c>
      <c r="F5" s="222" t="s">
        <v>756</v>
      </c>
      <c r="G5" s="222" t="s">
        <v>424</v>
      </c>
      <c r="H5" s="225">
        <v>243049.16</v>
      </c>
      <c r="I5" s="222" t="s">
        <v>20</v>
      </c>
      <c r="J5" s="222" t="s">
        <v>415</v>
      </c>
      <c r="K5" s="222" t="s">
        <v>5938</v>
      </c>
      <c r="L5" s="222" t="s">
        <v>20</v>
      </c>
      <c r="M5" s="222" t="s">
        <v>5933</v>
      </c>
    </row>
    <row r="6" spans="1:13" ht="105">
      <c r="A6" s="222">
        <v>5</v>
      </c>
      <c r="B6" s="222" t="s">
        <v>5939</v>
      </c>
      <c r="C6" s="222" t="s">
        <v>34</v>
      </c>
      <c r="D6" s="6" t="s">
        <v>168</v>
      </c>
      <c r="E6" s="222">
        <v>5</v>
      </c>
      <c r="F6" s="222" t="s">
        <v>5940</v>
      </c>
      <c r="G6" s="222" t="s">
        <v>424</v>
      </c>
      <c r="H6" s="225">
        <v>2370000</v>
      </c>
      <c r="I6" s="222" t="s">
        <v>20</v>
      </c>
      <c r="J6" s="222" t="s">
        <v>415</v>
      </c>
      <c r="K6" s="222" t="s">
        <v>5941</v>
      </c>
      <c r="L6" s="222" t="s">
        <v>20</v>
      </c>
      <c r="M6" s="222" t="s">
        <v>5933</v>
      </c>
    </row>
    <row r="7" spans="1:13" ht="105">
      <c r="A7" s="222">
        <v>6</v>
      </c>
      <c r="B7" s="222" t="s">
        <v>5942</v>
      </c>
      <c r="C7" s="222" t="s">
        <v>34</v>
      </c>
      <c r="D7" s="6" t="s">
        <v>168</v>
      </c>
      <c r="E7" s="222">
        <v>56</v>
      </c>
      <c r="F7" s="222" t="s">
        <v>756</v>
      </c>
      <c r="G7" s="222" t="s">
        <v>5943</v>
      </c>
      <c r="H7" s="225">
        <v>18102.2</v>
      </c>
      <c r="I7" s="222" t="s">
        <v>20</v>
      </c>
      <c r="J7" s="222" t="s">
        <v>415</v>
      </c>
      <c r="K7" s="222" t="s">
        <v>5944</v>
      </c>
      <c r="L7" s="222" t="s">
        <v>20</v>
      </c>
      <c r="M7" s="222" t="s">
        <v>5933</v>
      </c>
    </row>
    <row r="8" spans="1:13" ht="105">
      <c r="A8" s="222">
        <v>7</v>
      </c>
      <c r="B8" s="222" t="s">
        <v>5945</v>
      </c>
      <c r="C8" s="222" t="s">
        <v>34</v>
      </c>
      <c r="D8" s="6" t="s">
        <v>168</v>
      </c>
      <c r="E8" s="222">
        <v>2</v>
      </c>
      <c r="F8" s="222" t="s">
        <v>756</v>
      </c>
      <c r="G8" s="222" t="s">
        <v>5946</v>
      </c>
      <c r="H8" s="225">
        <v>372373.91</v>
      </c>
      <c r="I8" s="222" t="s">
        <v>20</v>
      </c>
      <c r="J8" s="222" t="s">
        <v>415</v>
      </c>
      <c r="K8" s="226">
        <v>45337</v>
      </c>
      <c r="L8" s="222" t="s">
        <v>20</v>
      </c>
      <c r="M8" s="222" t="s">
        <v>5933</v>
      </c>
    </row>
    <row r="9" spans="1:13" ht="105">
      <c r="A9" s="222">
        <v>8</v>
      </c>
      <c r="B9" s="222" t="s">
        <v>428</v>
      </c>
      <c r="C9" s="222" t="s">
        <v>34</v>
      </c>
      <c r="D9" s="6" t="s">
        <v>168</v>
      </c>
      <c r="E9" s="222">
        <v>36</v>
      </c>
      <c r="F9" s="222" t="s">
        <v>756</v>
      </c>
      <c r="G9" s="222" t="s">
        <v>424</v>
      </c>
      <c r="H9" s="225">
        <v>2900185</v>
      </c>
      <c r="I9" s="222" t="s">
        <v>20</v>
      </c>
      <c r="J9" s="222" t="s">
        <v>415</v>
      </c>
      <c r="K9" s="226">
        <v>45575</v>
      </c>
      <c r="L9" s="222" t="s">
        <v>20</v>
      </c>
      <c r="M9" s="222" t="s">
        <v>5933</v>
      </c>
    </row>
    <row r="10" spans="1:13" ht="105">
      <c r="A10" s="222">
        <v>9</v>
      </c>
      <c r="B10" s="222" t="s">
        <v>5947</v>
      </c>
      <c r="C10" s="222" t="s">
        <v>34</v>
      </c>
      <c r="D10" s="6" t="s">
        <v>168</v>
      </c>
      <c r="E10" s="222">
        <v>12</v>
      </c>
      <c r="F10" s="222" t="s">
        <v>756</v>
      </c>
      <c r="G10" s="222" t="s">
        <v>424</v>
      </c>
      <c r="H10" s="225">
        <v>192366.84</v>
      </c>
      <c r="I10" s="222" t="s">
        <v>20</v>
      </c>
      <c r="J10" s="222" t="s">
        <v>415</v>
      </c>
      <c r="K10" s="222" t="s">
        <v>5948</v>
      </c>
      <c r="L10" s="222" t="s">
        <v>20</v>
      </c>
      <c r="M10" s="222" t="s">
        <v>5933</v>
      </c>
    </row>
    <row r="11" spans="1:13" ht="105">
      <c r="A11" s="222">
        <v>10</v>
      </c>
      <c r="B11" s="222" t="s">
        <v>5949</v>
      </c>
      <c r="C11" s="222" t="s">
        <v>34</v>
      </c>
      <c r="D11" s="6" t="s">
        <v>168</v>
      </c>
      <c r="E11" s="222">
        <v>2</v>
      </c>
      <c r="F11" s="222" t="s">
        <v>756</v>
      </c>
      <c r="G11" s="222" t="s">
        <v>424</v>
      </c>
      <c r="H11" s="225">
        <v>10605.6</v>
      </c>
      <c r="I11" s="222" t="s">
        <v>20</v>
      </c>
      <c r="J11" s="222" t="s">
        <v>415</v>
      </c>
      <c r="K11" s="222" t="s">
        <v>5948</v>
      </c>
      <c r="L11" s="222" t="s">
        <v>20</v>
      </c>
      <c r="M11" s="222" t="s">
        <v>5933</v>
      </c>
    </row>
    <row r="12" spans="1:13" ht="105">
      <c r="A12" s="222">
        <v>11</v>
      </c>
      <c r="B12" s="222" t="s">
        <v>5950</v>
      </c>
      <c r="C12" s="222" t="s">
        <v>25</v>
      </c>
      <c r="D12" s="6" t="s">
        <v>168</v>
      </c>
      <c r="E12" s="222">
        <v>7</v>
      </c>
      <c r="F12" s="222" t="s">
        <v>5951</v>
      </c>
      <c r="G12" s="222" t="s">
        <v>5952</v>
      </c>
      <c r="H12" s="222" t="s">
        <v>5953</v>
      </c>
      <c r="I12" s="222" t="s">
        <v>20</v>
      </c>
      <c r="J12" s="222" t="s">
        <v>415</v>
      </c>
      <c r="K12" s="222" t="s">
        <v>5954</v>
      </c>
      <c r="L12" s="222" t="s">
        <v>20</v>
      </c>
      <c r="M12" s="222" t="s">
        <v>5933</v>
      </c>
    </row>
    <row r="13" spans="1:13" ht="105">
      <c r="A13" s="222">
        <v>12</v>
      </c>
      <c r="B13" s="222" t="s">
        <v>5955</v>
      </c>
      <c r="C13" s="222" t="s">
        <v>25</v>
      </c>
      <c r="D13" s="6" t="s">
        <v>168</v>
      </c>
      <c r="E13" s="222">
        <v>2</v>
      </c>
      <c r="F13" s="222" t="s">
        <v>5951</v>
      </c>
      <c r="G13" s="222" t="s">
        <v>5956</v>
      </c>
      <c r="H13" s="225">
        <v>317500</v>
      </c>
      <c r="I13" s="222" t="s">
        <v>20</v>
      </c>
      <c r="J13" s="222" t="s">
        <v>415</v>
      </c>
      <c r="K13" s="222" t="s">
        <v>5957</v>
      </c>
      <c r="L13" s="222" t="s">
        <v>20</v>
      </c>
      <c r="M13" s="222" t="s">
        <v>5933</v>
      </c>
    </row>
    <row r="14" spans="1:13" ht="105">
      <c r="A14" s="222">
        <v>13</v>
      </c>
      <c r="B14" s="222" t="s">
        <v>434</v>
      </c>
      <c r="C14" s="222" t="s">
        <v>34</v>
      </c>
      <c r="D14" s="6" t="s">
        <v>168</v>
      </c>
      <c r="E14" s="222">
        <v>1</v>
      </c>
      <c r="F14" s="222" t="s">
        <v>756</v>
      </c>
      <c r="G14" s="222" t="s">
        <v>424</v>
      </c>
      <c r="H14" s="222" t="s">
        <v>436</v>
      </c>
      <c r="I14" s="222" t="s">
        <v>20</v>
      </c>
      <c r="J14" s="222" t="s">
        <v>415</v>
      </c>
      <c r="K14" s="222" t="s">
        <v>5948</v>
      </c>
      <c r="L14" s="222" t="s">
        <v>20</v>
      </c>
      <c r="M14" s="222" t="s">
        <v>5933</v>
      </c>
    </row>
    <row r="15" spans="1:13" ht="105">
      <c r="A15" s="222">
        <v>14</v>
      </c>
      <c r="B15" s="222" t="s">
        <v>5958</v>
      </c>
      <c r="C15" s="222" t="s">
        <v>34</v>
      </c>
      <c r="D15" s="6" t="s">
        <v>168</v>
      </c>
      <c r="E15" s="222">
        <v>11</v>
      </c>
      <c r="F15" s="222" t="s">
        <v>756</v>
      </c>
      <c r="G15" s="222" t="s">
        <v>439</v>
      </c>
      <c r="H15" s="225">
        <v>105398</v>
      </c>
      <c r="I15" s="222" t="s">
        <v>20</v>
      </c>
      <c r="J15" s="222" t="s">
        <v>415</v>
      </c>
      <c r="K15" s="222" t="s">
        <v>5944</v>
      </c>
      <c r="L15" s="222" t="s">
        <v>20</v>
      </c>
      <c r="M15" s="222" t="s">
        <v>5933</v>
      </c>
    </row>
    <row r="16" spans="1:13" ht="105">
      <c r="A16" s="222">
        <v>15</v>
      </c>
      <c r="B16" s="222" t="s">
        <v>441</v>
      </c>
      <c r="C16" s="222" t="s">
        <v>241</v>
      </c>
      <c r="D16" s="6" t="s">
        <v>168</v>
      </c>
      <c r="E16" s="222">
        <v>15</v>
      </c>
      <c r="F16" s="222" t="s">
        <v>756</v>
      </c>
      <c r="G16" s="222" t="s">
        <v>442</v>
      </c>
      <c r="H16" s="225">
        <v>645247</v>
      </c>
      <c r="I16" s="222" t="s">
        <v>20</v>
      </c>
      <c r="J16" s="222" t="s">
        <v>415</v>
      </c>
      <c r="K16" s="222" t="s">
        <v>5959</v>
      </c>
      <c r="L16" s="222" t="s">
        <v>20</v>
      </c>
      <c r="M16" s="222" t="s">
        <v>5933</v>
      </c>
    </row>
    <row r="17" spans="1:13" ht="105">
      <c r="A17" s="222">
        <v>16</v>
      </c>
      <c r="B17" s="222" t="s">
        <v>439</v>
      </c>
      <c r="C17" s="222" t="s">
        <v>241</v>
      </c>
      <c r="D17" s="6" t="s">
        <v>168</v>
      </c>
      <c r="E17" s="222">
        <v>27</v>
      </c>
      <c r="F17" s="222" t="s">
        <v>5951</v>
      </c>
      <c r="G17" s="222" t="s">
        <v>445</v>
      </c>
      <c r="H17" s="225">
        <v>664713</v>
      </c>
      <c r="I17" s="222" t="s">
        <v>20</v>
      </c>
      <c r="J17" s="222" t="s">
        <v>415</v>
      </c>
      <c r="K17" s="222" t="s">
        <v>5960</v>
      </c>
      <c r="L17" s="222" t="s">
        <v>20</v>
      </c>
      <c r="M17" s="222" t="s">
        <v>5933</v>
      </c>
    </row>
    <row r="18" spans="1:13" ht="105">
      <c r="A18" s="222">
        <v>17</v>
      </c>
      <c r="B18" s="222" t="s">
        <v>5961</v>
      </c>
      <c r="C18" s="222" t="s">
        <v>34</v>
      </c>
      <c r="D18" s="6" t="s">
        <v>168</v>
      </c>
      <c r="E18" s="222">
        <v>109</v>
      </c>
      <c r="F18" s="222" t="s">
        <v>756</v>
      </c>
      <c r="G18" s="222" t="s">
        <v>459</v>
      </c>
      <c r="H18" s="225">
        <v>191162.51</v>
      </c>
      <c r="I18" s="222" t="s">
        <v>20</v>
      </c>
      <c r="J18" s="222" t="s">
        <v>415</v>
      </c>
      <c r="K18" s="222" t="s">
        <v>5960</v>
      </c>
      <c r="L18" s="222" t="s">
        <v>20</v>
      </c>
      <c r="M18" s="222" t="s">
        <v>5933</v>
      </c>
    </row>
    <row r="19" spans="1:13" ht="105">
      <c r="A19" s="222">
        <v>18</v>
      </c>
      <c r="B19" s="222" t="s">
        <v>461</v>
      </c>
      <c r="C19" s="222" t="s">
        <v>34</v>
      </c>
      <c r="D19" s="6" t="s">
        <v>168</v>
      </c>
      <c r="E19" s="222">
        <v>15</v>
      </c>
      <c r="F19" s="222" t="s">
        <v>756</v>
      </c>
      <c r="G19" s="222" t="s">
        <v>5962</v>
      </c>
      <c r="H19" s="225">
        <v>69555.320000000007</v>
      </c>
      <c r="I19" s="222" t="s">
        <v>20</v>
      </c>
      <c r="J19" s="222" t="s">
        <v>415</v>
      </c>
      <c r="K19" s="222" t="s">
        <v>5944</v>
      </c>
      <c r="L19" s="222" t="s">
        <v>20</v>
      </c>
      <c r="M19" s="222" t="s">
        <v>5933</v>
      </c>
    </row>
    <row r="20" spans="1:13" ht="105">
      <c r="A20" s="222">
        <v>19</v>
      </c>
      <c r="B20" s="222" t="s">
        <v>393</v>
      </c>
      <c r="C20" s="222" t="s">
        <v>241</v>
      </c>
      <c r="D20" s="6" t="s">
        <v>168</v>
      </c>
      <c r="E20" s="222">
        <v>2</v>
      </c>
      <c r="F20" s="222" t="s">
        <v>756</v>
      </c>
      <c r="G20" s="222" t="s">
        <v>393</v>
      </c>
      <c r="H20" s="225">
        <v>1990.8</v>
      </c>
      <c r="I20" s="222" t="s">
        <v>20</v>
      </c>
      <c r="J20" s="222" t="s">
        <v>415</v>
      </c>
      <c r="K20" s="226">
        <v>45301</v>
      </c>
      <c r="L20" s="222" t="s">
        <v>38</v>
      </c>
      <c r="M20" s="222" t="s">
        <v>5933</v>
      </c>
    </row>
    <row r="21" spans="1:13" ht="105">
      <c r="A21" s="222">
        <v>20</v>
      </c>
      <c r="B21" s="222" t="s">
        <v>5963</v>
      </c>
      <c r="C21" s="222" t="s">
        <v>241</v>
      </c>
      <c r="D21" s="6" t="s">
        <v>168</v>
      </c>
      <c r="E21" s="222">
        <v>1</v>
      </c>
      <c r="F21" s="222" t="s">
        <v>756</v>
      </c>
      <c r="G21" s="222" t="s">
        <v>465</v>
      </c>
      <c r="H21" s="225">
        <v>3354.6</v>
      </c>
      <c r="I21" s="222" t="s">
        <v>20</v>
      </c>
      <c r="J21" s="222" t="s">
        <v>415</v>
      </c>
      <c r="K21" s="226">
        <v>45505</v>
      </c>
      <c r="L21" s="222" t="s">
        <v>38</v>
      </c>
      <c r="M21" s="222" t="s">
        <v>5933</v>
      </c>
    </row>
    <row r="22" spans="1:13" ht="105">
      <c r="A22" s="222">
        <v>21</v>
      </c>
      <c r="B22" s="222" t="s">
        <v>467</v>
      </c>
      <c r="C22" s="222" t="s">
        <v>241</v>
      </c>
      <c r="D22" s="6" t="s">
        <v>168</v>
      </c>
      <c r="E22" s="222">
        <v>11</v>
      </c>
      <c r="F22" s="222" t="s">
        <v>756</v>
      </c>
      <c r="G22" s="222" t="s">
        <v>468</v>
      </c>
      <c r="H22" s="225">
        <v>22540.01</v>
      </c>
      <c r="I22" s="222" t="s">
        <v>20</v>
      </c>
      <c r="J22" s="222" t="s">
        <v>415</v>
      </c>
      <c r="K22" s="222" t="s">
        <v>5964</v>
      </c>
      <c r="L22" s="222" t="s">
        <v>38</v>
      </c>
      <c r="M22" s="222" t="s">
        <v>5933</v>
      </c>
    </row>
    <row r="23" spans="1:13" ht="105">
      <c r="A23" s="222">
        <v>22</v>
      </c>
      <c r="B23" s="222" t="s">
        <v>239</v>
      </c>
      <c r="C23" s="222" t="s">
        <v>34</v>
      </c>
      <c r="D23" s="6" t="s">
        <v>168</v>
      </c>
      <c r="E23" s="222">
        <v>3</v>
      </c>
      <c r="F23" s="222" t="s">
        <v>756</v>
      </c>
      <c r="G23" s="222" t="s">
        <v>470</v>
      </c>
      <c r="H23" s="225">
        <v>70000</v>
      </c>
      <c r="I23" s="222" t="s">
        <v>20</v>
      </c>
      <c r="J23" s="222" t="s">
        <v>415</v>
      </c>
      <c r="K23" s="222" t="s">
        <v>5938</v>
      </c>
      <c r="L23" s="222" t="s">
        <v>38</v>
      </c>
      <c r="M23" s="222" t="s">
        <v>5933</v>
      </c>
    </row>
    <row r="24" spans="1:13" ht="105">
      <c r="A24" s="222">
        <v>23</v>
      </c>
      <c r="B24" s="222" t="s">
        <v>5965</v>
      </c>
      <c r="C24" s="222" t="s">
        <v>241</v>
      </c>
      <c r="D24" s="6" t="s">
        <v>168</v>
      </c>
      <c r="E24" s="222">
        <v>10</v>
      </c>
      <c r="F24" s="222" t="s">
        <v>5966</v>
      </c>
      <c r="G24" s="222" t="s">
        <v>5967</v>
      </c>
      <c r="H24" s="225">
        <v>22200000</v>
      </c>
      <c r="I24" s="222" t="s">
        <v>20</v>
      </c>
      <c r="J24" s="222" t="s">
        <v>415</v>
      </c>
      <c r="K24" s="222" t="s">
        <v>5941</v>
      </c>
      <c r="L24" s="222" t="s">
        <v>38</v>
      </c>
      <c r="M24" s="222" t="s">
        <v>5933</v>
      </c>
    </row>
    <row r="25" spans="1:13" ht="105">
      <c r="A25" s="222">
        <v>24</v>
      </c>
      <c r="B25" s="222" t="s">
        <v>5968</v>
      </c>
      <c r="C25" s="222" t="s">
        <v>34</v>
      </c>
      <c r="D25" s="6" t="s">
        <v>168</v>
      </c>
      <c r="E25" s="222">
        <v>4</v>
      </c>
      <c r="F25" s="222" t="s">
        <v>756</v>
      </c>
      <c r="G25" s="222" t="s">
        <v>5969</v>
      </c>
      <c r="H25" s="227">
        <v>110500</v>
      </c>
      <c r="I25" s="222" t="s">
        <v>20</v>
      </c>
      <c r="J25" s="222" t="s">
        <v>415</v>
      </c>
      <c r="K25" s="222" t="s">
        <v>5959</v>
      </c>
      <c r="L25" s="222" t="s">
        <v>20</v>
      </c>
      <c r="M25" s="222" t="s">
        <v>5933</v>
      </c>
    </row>
    <row r="26" spans="1:13" ht="105">
      <c r="A26" s="222">
        <v>25</v>
      </c>
      <c r="B26" s="222" t="s">
        <v>5970</v>
      </c>
      <c r="C26" s="222" t="s">
        <v>34</v>
      </c>
      <c r="D26" s="6" t="s">
        <v>168</v>
      </c>
      <c r="E26" s="222">
        <v>30</v>
      </c>
      <c r="F26" s="222" t="s">
        <v>756</v>
      </c>
      <c r="G26" s="222" t="s">
        <v>472</v>
      </c>
      <c r="H26" s="225">
        <v>301463.61</v>
      </c>
      <c r="I26" s="222" t="s">
        <v>20</v>
      </c>
      <c r="J26" s="222" t="s">
        <v>415</v>
      </c>
      <c r="K26" s="222" t="s">
        <v>5959</v>
      </c>
      <c r="L26" s="222" t="s">
        <v>20</v>
      </c>
      <c r="M26" s="222" t="s">
        <v>5933</v>
      </c>
    </row>
  </sheetData>
  <pageMargins left="0.511811024" right="0.511811024" top="0.78740157499999996" bottom="0.78740157499999996" header="0.31496062000000002" footer="0.3149606200000000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0C590-CCFA-4C27-BB68-5E5A00965A2D}">
  <dimension ref="A1:M129"/>
  <sheetViews>
    <sheetView workbookViewId="0">
      <selection activeCell="R3" sqref="R3"/>
    </sheetView>
  </sheetViews>
  <sheetFormatPr defaultRowHeight="15"/>
  <cols>
    <col min="2" max="2" width="29.42578125" customWidth="1"/>
    <col min="8" max="8" width="24.7109375" customWidth="1"/>
  </cols>
  <sheetData>
    <row r="1" spans="1:13" ht="90">
      <c r="A1" s="36" t="s">
        <v>0</v>
      </c>
      <c r="B1" s="36" t="s">
        <v>409</v>
      </c>
      <c r="C1" s="36" t="s">
        <v>410</v>
      </c>
      <c r="D1" s="36" t="s">
        <v>1</v>
      </c>
      <c r="E1" s="36" t="s">
        <v>582</v>
      </c>
      <c r="F1" s="36" t="s">
        <v>8</v>
      </c>
      <c r="G1" s="36" t="s">
        <v>412</v>
      </c>
      <c r="H1" s="36" t="s">
        <v>3</v>
      </c>
      <c r="I1" s="36" t="s">
        <v>4</v>
      </c>
      <c r="J1" s="36" t="s">
        <v>5</v>
      </c>
      <c r="K1" s="36" t="s">
        <v>413</v>
      </c>
      <c r="L1" s="36" t="s">
        <v>7</v>
      </c>
      <c r="M1" s="36" t="s">
        <v>12</v>
      </c>
    </row>
    <row r="2" spans="1:13" ht="90">
      <c r="A2" s="37">
        <v>1</v>
      </c>
      <c r="B2" s="154" t="s">
        <v>5971</v>
      </c>
      <c r="C2" s="37" t="s">
        <v>34</v>
      </c>
      <c r="D2" s="37" t="s">
        <v>17</v>
      </c>
      <c r="E2" s="37">
        <v>300</v>
      </c>
      <c r="F2" s="37" t="s">
        <v>5972</v>
      </c>
      <c r="G2" s="37" t="s">
        <v>5973</v>
      </c>
      <c r="H2" s="228">
        <v>135000</v>
      </c>
      <c r="I2" s="37" t="s">
        <v>20</v>
      </c>
      <c r="J2" s="37" t="s">
        <v>415</v>
      </c>
      <c r="K2" s="229">
        <v>45536</v>
      </c>
      <c r="L2" s="37" t="s">
        <v>2933</v>
      </c>
      <c r="M2" s="37" t="s">
        <v>5974</v>
      </c>
    </row>
    <row r="3" spans="1:13" ht="90">
      <c r="A3" s="37">
        <v>2</v>
      </c>
      <c r="B3" s="154" t="s">
        <v>5975</v>
      </c>
      <c r="C3" s="37" t="s">
        <v>34</v>
      </c>
      <c r="D3" s="37" t="s">
        <v>17</v>
      </c>
      <c r="E3" s="37">
        <v>300</v>
      </c>
      <c r="F3" s="37" t="s">
        <v>5972</v>
      </c>
      <c r="G3" s="37" t="s">
        <v>5973</v>
      </c>
      <c r="H3" s="228">
        <v>105000</v>
      </c>
      <c r="I3" s="37" t="s">
        <v>20</v>
      </c>
      <c r="J3" s="37" t="s">
        <v>415</v>
      </c>
      <c r="K3" s="229">
        <v>45536</v>
      </c>
      <c r="L3" s="37" t="s">
        <v>2933</v>
      </c>
      <c r="M3" s="37" t="s">
        <v>5974</v>
      </c>
    </row>
    <row r="4" spans="1:13" ht="90">
      <c r="A4" s="37">
        <v>3</v>
      </c>
      <c r="B4" s="154" t="s">
        <v>5976</v>
      </c>
      <c r="C4" s="37" t="s">
        <v>34</v>
      </c>
      <c r="D4" s="37" t="s">
        <v>17</v>
      </c>
      <c r="E4" s="37">
        <v>100</v>
      </c>
      <c r="F4" s="37" t="s">
        <v>5972</v>
      </c>
      <c r="G4" s="37" t="s">
        <v>5973</v>
      </c>
      <c r="H4" s="228">
        <v>35000</v>
      </c>
      <c r="I4" s="37" t="s">
        <v>20</v>
      </c>
      <c r="J4" s="37" t="s">
        <v>415</v>
      </c>
      <c r="K4" s="229">
        <v>45536</v>
      </c>
      <c r="L4" s="37" t="s">
        <v>2933</v>
      </c>
      <c r="M4" s="37" t="s">
        <v>5974</v>
      </c>
    </row>
    <row r="5" spans="1:13" ht="90">
      <c r="A5" s="37">
        <v>4</v>
      </c>
      <c r="B5" s="154" t="s">
        <v>5977</v>
      </c>
      <c r="C5" s="37" t="s">
        <v>34</v>
      </c>
      <c r="D5" s="37" t="s">
        <v>17</v>
      </c>
      <c r="E5" s="37">
        <v>150</v>
      </c>
      <c r="F5" s="37" t="s">
        <v>5972</v>
      </c>
      <c r="G5" s="37" t="s">
        <v>5973</v>
      </c>
      <c r="H5" s="228">
        <v>52500</v>
      </c>
      <c r="I5" s="37" t="s">
        <v>20</v>
      </c>
      <c r="J5" s="37" t="s">
        <v>415</v>
      </c>
      <c r="K5" s="229">
        <v>45536</v>
      </c>
      <c r="L5" s="37" t="s">
        <v>2933</v>
      </c>
      <c r="M5" s="37" t="s">
        <v>5974</v>
      </c>
    </row>
    <row r="6" spans="1:13" ht="90">
      <c r="A6" s="37">
        <v>5</v>
      </c>
      <c r="B6" s="154" t="s">
        <v>5978</v>
      </c>
      <c r="C6" s="37" t="s">
        <v>34</v>
      </c>
      <c r="D6" s="37" t="s">
        <v>17</v>
      </c>
      <c r="E6" s="37">
        <v>50</v>
      </c>
      <c r="F6" s="37" t="s">
        <v>5972</v>
      </c>
      <c r="G6" s="37" t="s">
        <v>5973</v>
      </c>
      <c r="H6" s="228">
        <v>17500</v>
      </c>
      <c r="I6" s="37" t="s">
        <v>20</v>
      </c>
      <c r="J6" s="37" t="s">
        <v>415</v>
      </c>
      <c r="K6" s="229">
        <v>45536</v>
      </c>
      <c r="L6" s="37" t="s">
        <v>2933</v>
      </c>
      <c r="M6" s="37" t="s">
        <v>5974</v>
      </c>
    </row>
    <row r="7" spans="1:13" ht="90">
      <c r="A7" s="37">
        <v>6</v>
      </c>
      <c r="B7" s="154" t="s">
        <v>5979</v>
      </c>
      <c r="C7" s="37" t="s">
        <v>34</v>
      </c>
      <c r="D7" s="37" t="s">
        <v>17</v>
      </c>
      <c r="E7" s="37">
        <v>500</v>
      </c>
      <c r="F7" s="37" t="s">
        <v>5972</v>
      </c>
      <c r="G7" s="37" t="s">
        <v>5973</v>
      </c>
      <c r="H7" s="228">
        <v>125000</v>
      </c>
      <c r="I7" s="37" t="s">
        <v>20</v>
      </c>
      <c r="J7" s="37" t="s">
        <v>415</v>
      </c>
      <c r="K7" s="229">
        <v>45536</v>
      </c>
      <c r="L7" s="37" t="s">
        <v>2933</v>
      </c>
      <c r="M7" s="37" t="s">
        <v>5974</v>
      </c>
    </row>
    <row r="8" spans="1:13" ht="90">
      <c r="A8" s="37">
        <v>7</v>
      </c>
      <c r="B8" s="230" t="s">
        <v>5980</v>
      </c>
      <c r="C8" s="37" t="s">
        <v>34</v>
      </c>
      <c r="D8" s="37" t="s">
        <v>17</v>
      </c>
      <c r="E8" s="37">
        <v>600</v>
      </c>
      <c r="F8" s="37" t="s">
        <v>756</v>
      </c>
      <c r="G8" s="37" t="s">
        <v>5981</v>
      </c>
      <c r="H8" s="228">
        <v>15000</v>
      </c>
      <c r="I8" s="37" t="s">
        <v>20</v>
      </c>
      <c r="J8" s="37" t="s">
        <v>415</v>
      </c>
      <c r="K8" s="229">
        <v>45536</v>
      </c>
      <c r="L8" s="37" t="s">
        <v>2933</v>
      </c>
      <c r="M8" s="37" t="s">
        <v>5974</v>
      </c>
    </row>
    <row r="9" spans="1:13" ht="90">
      <c r="A9" s="37">
        <v>8</v>
      </c>
      <c r="B9" s="231" t="s">
        <v>5982</v>
      </c>
      <c r="C9" s="37" t="s">
        <v>34</v>
      </c>
      <c r="D9" s="37" t="s">
        <v>17</v>
      </c>
      <c r="E9" s="37">
        <v>100</v>
      </c>
      <c r="F9" s="37" t="s">
        <v>681</v>
      </c>
      <c r="G9" s="37" t="s">
        <v>5981</v>
      </c>
      <c r="H9" s="228">
        <v>7000</v>
      </c>
      <c r="I9" s="37" t="s">
        <v>20</v>
      </c>
      <c r="J9" s="37" t="s">
        <v>415</v>
      </c>
      <c r="K9" s="229">
        <v>45536</v>
      </c>
      <c r="L9" s="37" t="s">
        <v>2933</v>
      </c>
      <c r="M9" s="37" t="s">
        <v>5974</v>
      </c>
    </row>
    <row r="10" spans="1:13" ht="90">
      <c r="A10" s="37">
        <v>9</v>
      </c>
      <c r="B10" s="231" t="s">
        <v>5983</v>
      </c>
      <c r="C10" s="37" t="s">
        <v>34</v>
      </c>
      <c r="D10" s="37" t="s">
        <v>17</v>
      </c>
      <c r="E10" s="37">
        <v>4000</v>
      </c>
      <c r="F10" s="37" t="s">
        <v>756</v>
      </c>
      <c r="G10" s="37" t="s">
        <v>5981</v>
      </c>
      <c r="H10" s="228">
        <v>8000</v>
      </c>
      <c r="I10" s="37" t="s">
        <v>20</v>
      </c>
      <c r="J10" s="37" t="s">
        <v>415</v>
      </c>
      <c r="K10" s="229">
        <v>45536</v>
      </c>
      <c r="L10" s="37" t="s">
        <v>2933</v>
      </c>
      <c r="M10" s="37" t="s">
        <v>5974</v>
      </c>
    </row>
    <row r="11" spans="1:13" ht="90">
      <c r="A11" s="37">
        <v>10</v>
      </c>
      <c r="B11" s="231" t="s">
        <v>5984</v>
      </c>
      <c r="C11" s="37" t="s">
        <v>34</v>
      </c>
      <c r="D11" s="37" t="s">
        <v>17</v>
      </c>
      <c r="E11" s="40">
        <v>2000</v>
      </c>
      <c r="F11" s="37" t="s">
        <v>756</v>
      </c>
      <c r="G11" s="37" t="s">
        <v>5981</v>
      </c>
      <c r="H11" s="228">
        <v>10000</v>
      </c>
      <c r="I11" s="37" t="s">
        <v>20</v>
      </c>
      <c r="J11" s="37" t="s">
        <v>415</v>
      </c>
      <c r="K11" s="229">
        <v>45536</v>
      </c>
      <c r="L11" s="37" t="s">
        <v>2933</v>
      </c>
      <c r="M11" s="37" t="s">
        <v>5974</v>
      </c>
    </row>
    <row r="12" spans="1:13" ht="90">
      <c r="A12" s="37">
        <v>11</v>
      </c>
      <c r="B12" s="231" t="s">
        <v>5985</v>
      </c>
      <c r="C12" s="37" t="s">
        <v>34</v>
      </c>
      <c r="D12" s="37" t="s">
        <v>17</v>
      </c>
      <c r="E12" s="37">
        <v>300</v>
      </c>
      <c r="F12" s="37" t="s">
        <v>756</v>
      </c>
      <c r="G12" s="37" t="s">
        <v>5981</v>
      </c>
      <c r="H12" s="232">
        <v>58500</v>
      </c>
      <c r="I12" s="37" t="s">
        <v>20</v>
      </c>
      <c r="J12" s="37" t="s">
        <v>415</v>
      </c>
      <c r="K12" s="229">
        <v>45536</v>
      </c>
      <c r="L12" s="37" t="s">
        <v>2933</v>
      </c>
      <c r="M12" s="37" t="s">
        <v>5974</v>
      </c>
    </row>
    <row r="13" spans="1:13" ht="90">
      <c r="A13" s="37">
        <v>12</v>
      </c>
      <c r="B13" s="231" t="s">
        <v>5986</v>
      </c>
      <c r="C13" s="37" t="s">
        <v>34</v>
      </c>
      <c r="D13" s="37" t="s">
        <v>17</v>
      </c>
      <c r="E13" s="37">
        <v>500</v>
      </c>
      <c r="F13" s="37" t="s">
        <v>560</v>
      </c>
      <c r="G13" s="37" t="s">
        <v>5973</v>
      </c>
      <c r="H13" s="232">
        <v>10000</v>
      </c>
      <c r="I13" s="37" t="s">
        <v>20</v>
      </c>
      <c r="J13" s="37" t="s">
        <v>415</v>
      </c>
      <c r="K13" s="229">
        <v>45536</v>
      </c>
      <c r="L13" s="37" t="s">
        <v>2933</v>
      </c>
      <c r="M13" s="37" t="s">
        <v>5974</v>
      </c>
    </row>
    <row r="14" spans="1:13" ht="90">
      <c r="A14" s="37">
        <v>13</v>
      </c>
      <c r="B14" s="231" t="s">
        <v>5987</v>
      </c>
      <c r="C14" s="37" t="s">
        <v>34</v>
      </c>
      <c r="D14" s="37" t="s">
        <v>17</v>
      </c>
      <c r="E14" s="37">
        <v>500</v>
      </c>
      <c r="F14" s="37" t="s">
        <v>756</v>
      </c>
      <c r="G14" s="37" t="s">
        <v>5973</v>
      </c>
      <c r="H14" s="232">
        <v>9000</v>
      </c>
      <c r="I14" s="37" t="s">
        <v>20</v>
      </c>
      <c r="J14" s="37" t="s">
        <v>415</v>
      </c>
      <c r="K14" s="229">
        <v>45536</v>
      </c>
      <c r="L14" s="37" t="s">
        <v>2933</v>
      </c>
      <c r="M14" s="37" t="s">
        <v>5974</v>
      </c>
    </row>
    <row r="15" spans="1:13" ht="90">
      <c r="A15" s="37">
        <v>14</v>
      </c>
      <c r="B15" s="231" t="s">
        <v>5988</v>
      </c>
      <c r="C15" s="37" t="s">
        <v>34</v>
      </c>
      <c r="D15" s="37" t="s">
        <v>17</v>
      </c>
      <c r="E15" s="37">
        <v>500</v>
      </c>
      <c r="F15" s="37" t="s">
        <v>756</v>
      </c>
      <c r="G15" s="37" t="s">
        <v>5973</v>
      </c>
      <c r="H15" s="232">
        <v>9000</v>
      </c>
      <c r="I15" s="37" t="s">
        <v>20</v>
      </c>
      <c r="J15" s="37" t="s">
        <v>415</v>
      </c>
      <c r="K15" s="229">
        <v>45536</v>
      </c>
      <c r="L15" s="37" t="s">
        <v>2933</v>
      </c>
      <c r="M15" s="37" t="s">
        <v>5974</v>
      </c>
    </row>
    <row r="16" spans="1:13" ht="90">
      <c r="A16" s="37">
        <v>15</v>
      </c>
      <c r="B16" s="231" t="s">
        <v>5989</v>
      </c>
      <c r="C16" s="37" t="s">
        <v>34</v>
      </c>
      <c r="D16" s="37" t="s">
        <v>17</v>
      </c>
      <c r="E16" s="37">
        <v>500</v>
      </c>
      <c r="F16" s="37" t="s">
        <v>756</v>
      </c>
      <c r="G16" s="37" t="s">
        <v>5973</v>
      </c>
      <c r="H16" s="232">
        <v>15000</v>
      </c>
      <c r="I16" s="37" t="s">
        <v>20</v>
      </c>
      <c r="J16" s="37" t="s">
        <v>415</v>
      </c>
      <c r="K16" s="229">
        <v>45536</v>
      </c>
      <c r="L16" s="37" t="s">
        <v>2933</v>
      </c>
      <c r="M16" s="37" t="s">
        <v>5974</v>
      </c>
    </row>
    <row r="17" spans="1:13" ht="90">
      <c r="A17" s="37">
        <v>16</v>
      </c>
      <c r="B17" s="231" t="s">
        <v>5990</v>
      </c>
      <c r="C17" s="37" t="s">
        <v>34</v>
      </c>
      <c r="D17" s="37" t="s">
        <v>17</v>
      </c>
      <c r="E17" s="37">
        <v>500</v>
      </c>
      <c r="F17" s="37" t="s">
        <v>756</v>
      </c>
      <c r="G17" s="37" t="s">
        <v>5973</v>
      </c>
      <c r="H17" s="232">
        <v>15000</v>
      </c>
      <c r="I17" s="37" t="s">
        <v>20</v>
      </c>
      <c r="J17" s="37" t="s">
        <v>415</v>
      </c>
      <c r="K17" s="229">
        <v>45536</v>
      </c>
      <c r="L17" s="37" t="s">
        <v>2933</v>
      </c>
      <c r="M17" s="37" t="s">
        <v>5974</v>
      </c>
    </row>
    <row r="18" spans="1:13" ht="120">
      <c r="A18" s="37">
        <v>17</v>
      </c>
      <c r="B18" s="231" t="s">
        <v>5991</v>
      </c>
      <c r="C18" s="37" t="s">
        <v>34</v>
      </c>
      <c r="D18" s="37" t="s">
        <v>17</v>
      </c>
      <c r="E18" s="37">
        <v>1000</v>
      </c>
      <c r="F18" s="37" t="s">
        <v>2890</v>
      </c>
      <c r="G18" s="37" t="s">
        <v>5981</v>
      </c>
      <c r="H18" s="232">
        <v>450000</v>
      </c>
      <c r="I18" s="37" t="s">
        <v>20</v>
      </c>
      <c r="J18" s="37" t="s">
        <v>415</v>
      </c>
      <c r="K18" s="229">
        <v>45536</v>
      </c>
      <c r="L18" s="37" t="s">
        <v>2933</v>
      </c>
      <c r="M18" s="37" t="s">
        <v>5974</v>
      </c>
    </row>
    <row r="19" spans="1:13" ht="90">
      <c r="A19" s="37">
        <v>18</v>
      </c>
      <c r="B19" s="231" t="s">
        <v>5992</v>
      </c>
      <c r="C19" s="37" t="s">
        <v>34</v>
      </c>
      <c r="D19" s="37" t="s">
        <v>17</v>
      </c>
      <c r="E19" s="37">
        <v>100</v>
      </c>
      <c r="F19" s="37" t="s">
        <v>756</v>
      </c>
      <c r="G19" s="37" t="s">
        <v>5973</v>
      </c>
      <c r="H19" s="232">
        <v>10000</v>
      </c>
      <c r="I19" s="37" t="s">
        <v>20</v>
      </c>
      <c r="J19" s="37" t="s">
        <v>415</v>
      </c>
      <c r="K19" s="229">
        <v>45536</v>
      </c>
      <c r="L19" s="37" t="s">
        <v>2933</v>
      </c>
      <c r="M19" s="37" t="s">
        <v>5974</v>
      </c>
    </row>
    <row r="20" spans="1:13" ht="90">
      <c r="A20" s="37">
        <v>19</v>
      </c>
      <c r="B20" s="231" t="s">
        <v>5993</v>
      </c>
      <c r="C20" s="37" t="s">
        <v>34</v>
      </c>
      <c r="D20" s="37" t="s">
        <v>17</v>
      </c>
      <c r="E20" s="37">
        <v>50</v>
      </c>
      <c r="F20" s="37" t="s">
        <v>756</v>
      </c>
      <c r="G20" s="37" t="s">
        <v>5973</v>
      </c>
      <c r="H20" s="232">
        <v>15000</v>
      </c>
      <c r="I20" s="37" t="s">
        <v>20</v>
      </c>
      <c r="J20" s="37" t="s">
        <v>415</v>
      </c>
      <c r="K20" s="229">
        <v>45536</v>
      </c>
      <c r="L20" s="37" t="s">
        <v>2933</v>
      </c>
      <c r="M20" s="37" t="s">
        <v>5974</v>
      </c>
    </row>
    <row r="21" spans="1:13" ht="90">
      <c r="A21" s="37">
        <v>20</v>
      </c>
      <c r="B21" s="231" t="s">
        <v>5994</v>
      </c>
      <c r="C21" s="37" t="s">
        <v>34</v>
      </c>
      <c r="D21" s="37" t="s">
        <v>17</v>
      </c>
      <c r="E21" s="37">
        <v>50</v>
      </c>
      <c r="F21" s="37" t="s">
        <v>756</v>
      </c>
      <c r="G21" s="37" t="s">
        <v>5973</v>
      </c>
      <c r="H21" s="232">
        <v>15000</v>
      </c>
      <c r="I21" s="37" t="s">
        <v>20</v>
      </c>
      <c r="J21" s="37" t="s">
        <v>415</v>
      </c>
      <c r="K21" s="229">
        <v>45536</v>
      </c>
      <c r="L21" s="37" t="s">
        <v>2933</v>
      </c>
      <c r="M21" s="37" t="s">
        <v>5974</v>
      </c>
    </row>
    <row r="22" spans="1:13" ht="90">
      <c r="A22" s="37">
        <v>22</v>
      </c>
      <c r="B22" s="231" t="s">
        <v>5995</v>
      </c>
      <c r="C22" s="37" t="s">
        <v>34</v>
      </c>
      <c r="D22" s="37" t="s">
        <v>17</v>
      </c>
      <c r="E22" s="37">
        <v>500</v>
      </c>
      <c r="F22" s="37" t="s">
        <v>2740</v>
      </c>
      <c r="G22" s="37" t="s">
        <v>5973</v>
      </c>
      <c r="H22" s="232">
        <v>7000</v>
      </c>
      <c r="I22" s="37" t="s">
        <v>20</v>
      </c>
      <c r="J22" s="37" t="s">
        <v>415</v>
      </c>
      <c r="K22" s="229">
        <v>45536</v>
      </c>
      <c r="L22" s="37" t="s">
        <v>2933</v>
      </c>
      <c r="M22" s="37" t="s">
        <v>5974</v>
      </c>
    </row>
    <row r="23" spans="1:13" ht="90">
      <c r="A23" s="37">
        <v>23</v>
      </c>
      <c r="B23" s="231" t="s">
        <v>5996</v>
      </c>
      <c r="C23" s="37" t="s">
        <v>34</v>
      </c>
      <c r="D23" s="37" t="s">
        <v>17</v>
      </c>
      <c r="E23" s="37">
        <v>500</v>
      </c>
      <c r="F23" s="37" t="s">
        <v>756</v>
      </c>
      <c r="G23" s="37" t="s">
        <v>5973</v>
      </c>
      <c r="H23" s="232">
        <v>4500</v>
      </c>
      <c r="I23" s="37" t="s">
        <v>20</v>
      </c>
      <c r="J23" s="37" t="s">
        <v>415</v>
      </c>
      <c r="K23" s="229">
        <v>45536</v>
      </c>
      <c r="L23" s="37" t="s">
        <v>2933</v>
      </c>
      <c r="M23" s="37" t="s">
        <v>5974</v>
      </c>
    </row>
    <row r="24" spans="1:13" ht="90">
      <c r="A24" s="37">
        <v>24</v>
      </c>
      <c r="B24" s="231" t="s">
        <v>5997</v>
      </c>
      <c r="C24" s="37" t="s">
        <v>34</v>
      </c>
      <c r="D24" s="37" t="s">
        <v>17</v>
      </c>
      <c r="E24" s="37">
        <v>750</v>
      </c>
      <c r="F24" s="37" t="s">
        <v>756</v>
      </c>
      <c r="G24" s="37" t="s">
        <v>5973</v>
      </c>
      <c r="H24" s="232">
        <v>9000</v>
      </c>
      <c r="I24" s="37" t="s">
        <v>20</v>
      </c>
      <c r="J24" s="37" t="s">
        <v>415</v>
      </c>
      <c r="K24" s="229">
        <v>45536</v>
      </c>
      <c r="L24" s="37" t="s">
        <v>2933</v>
      </c>
      <c r="M24" s="37" t="s">
        <v>5974</v>
      </c>
    </row>
    <row r="25" spans="1:13" ht="90">
      <c r="A25" s="37">
        <v>26</v>
      </c>
      <c r="B25" s="231" t="s">
        <v>5998</v>
      </c>
      <c r="C25" s="37" t="s">
        <v>34</v>
      </c>
      <c r="D25" s="37" t="s">
        <v>17</v>
      </c>
      <c r="E25" s="37">
        <v>25</v>
      </c>
      <c r="F25" s="37" t="s">
        <v>756</v>
      </c>
      <c r="G25" s="37" t="s">
        <v>5999</v>
      </c>
      <c r="H25" s="232">
        <v>12500</v>
      </c>
      <c r="I25" s="37" t="s">
        <v>20</v>
      </c>
      <c r="J25" s="37" t="s">
        <v>6000</v>
      </c>
      <c r="K25" s="229">
        <v>45352</v>
      </c>
      <c r="L25" s="37" t="s">
        <v>2933</v>
      </c>
      <c r="M25" s="37" t="s">
        <v>5974</v>
      </c>
    </row>
    <row r="26" spans="1:13" ht="90">
      <c r="A26" s="37">
        <v>27</v>
      </c>
      <c r="B26" s="231" t="s">
        <v>6001</v>
      </c>
      <c r="C26" s="37" t="s">
        <v>25</v>
      </c>
      <c r="D26" s="37" t="s">
        <v>17</v>
      </c>
      <c r="E26" s="37">
        <v>12</v>
      </c>
      <c r="F26" s="37" t="s">
        <v>6002</v>
      </c>
      <c r="G26" s="37" t="s">
        <v>2143</v>
      </c>
      <c r="H26" s="232">
        <v>100000</v>
      </c>
      <c r="I26" s="37" t="s">
        <v>20</v>
      </c>
      <c r="J26" s="37" t="s">
        <v>415</v>
      </c>
      <c r="K26" s="229">
        <v>45323</v>
      </c>
      <c r="L26" s="37" t="s">
        <v>2933</v>
      </c>
      <c r="M26" s="37" t="s">
        <v>5974</v>
      </c>
    </row>
    <row r="27" spans="1:13" ht="90">
      <c r="A27" s="37">
        <v>28</v>
      </c>
      <c r="B27" s="231" t="s">
        <v>6003</v>
      </c>
      <c r="C27" s="37" t="s">
        <v>34</v>
      </c>
      <c r="D27" s="37" t="s">
        <v>17</v>
      </c>
      <c r="E27" s="37">
        <v>12</v>
      </c>
      <c r="F27" s="37" t="s">
        <v>756</v>
      </c>
      <c r="G27" s="37" t="s">
        <v>5999</v>
      </c>
      <c r="H27" s="232">
        <v>120</v>
      </c>
      <c r="I27" s="37" t="s">
        <v>20</v>
      </c>
      <c r="J27" s="37" t="s">
        <v>415</v>
      </c>
      <c r="K27" s="229">
        <v>45474</v>
      </c>
      <c r="L27" s="37" t="s">
        <v>2933</v>
      </c>
      <c r="M27" s="37" t="s">
        <v>5974</v>
      </c>
    </row>
    <row r="28" spans="1:13" ht="90">
      <c r="A28" s="37">
        <v>29</v>
      </c>
      <c r="B28" s="231" t="s">
        <v>6004</v>
      </c>
      <c r="C28" s="37" t="s">
        <v>34</v>
      </c>
      <c r="D28" s="37" t="s">
        <v>17</v>
      </c>
      <c r="E28" s="37">
        <v>12</v>
      </c>
      <c r="F28" s="37" t="s">
        <v>756</v>
      </c>
      <c r="G28" s="37" t="s">
        <v>5999</v>
      </c>
      <c r="H28" s="232">
        <v>240</v>
      </c>
      <c r="I28" s="37" t="s">
        <v>20</v>
      </c>
      <c r="J28" s="37" t="s">
        <v>415</v>
      </c>
      <c r="K28" s="229">
        <v>45474</v>
      </c>
      <c r="L28" s="37" t="s">
        <v>2933</v>
      </c>
      <c r="M28" s="37" t="s">
        <v>5974</v>
      </c>
    </row>
    <row r="29" spans="1:13" ht="90">
      <c r="A29" s="37">
        <v>30</v>
      </c>
      <c r="B29" s="231" t="s">
        <v>6005</v>
      </c>
      <c r="C29" s="37" t="s">
        <v>34</v>
      </c>
      <c r="D29" s="37" t="s">
        <v>17</v>
      </c>
      <c r="E29" s="37">
        <v>12</v>
      </c>
      <c r="F29" s="37" t="s">
        <v>756</v>
      </c>
      <c r="G29" s="37" t="s">
        <v>5999</v>
      </c>
      <c r="H29" s="232">
        <v>240</v>
      </c>
      <c r="I29" s="37" t="s">
        <v>20</v>
      </c>
      <c r="J29" s="37" t="s">
        <v>415</v>
      </c>
      <c r="K29" s="229">
        <v>45474</v>
      </c>
      <c r="L29" s="37" t="s">
        <v>2933</v>
      </c>
      <c r="M29" s="37" t="s">
        <v>5974</v>
      </c>
    </row>
    <row r="30" spans="1:13" ht="90">
      <c r="A30" s="37">
        <v>31</v>
      </c>
      <c r="B30" s="231" t="s">
        <v>6006</v>
      </c>
      <c r="C30" s="37" t="s">
        <v>34</v>
      </c>
      <c r="D30" s="37" t="s">
        <v>17</v>
      </c>
      <c r="E30" s="37">
        <v>6</v>
      </c>
      <c r="F30" s="37" t="s">
        <v>756</v>
      </c>
      <c r="G30" s="37" t="s">
        <v>5999</v>
      </c>
      <c r="H30" s="232">
        <v>540</v>
      </c>
      <c r="I30" s="37" t="s">
        <v>20</v>
      </c>
      <c r="J30" s="37" t="s">
        <v>415</v>
      </c>
      <c r="K30" s="229">
        <v>45474</v>
      </c>
      <c r="L30" s="37" t="s">
        <v>2933</v>
      </c>
      <c r="M30" s="37" t="s">
        <v>5974</v>
      </c>
    </row>
    <row r="31" spans="1:13" ht="90">
      <c r="A31" s="37">
        <v>32</v>
      </c>
      <c r="B31" s="231" t="s">
        <v>6007</v>
      </c>
      <c r="C31" s="37" t="s">
        <v>34</v>
      </c>
      <c r="D31" s="37" t="s">
        <v>17</v>
      </c>
      <c r="E31" s="37">
        <v>20</v>
      </c>
      <c r="F31" s="37" t="s">
        <v>756</v>
      </c>
      <c r="G31" s="37" t="s">
        <v>5999</v>
      </c>
      <c r="H31" s="232">
        <v>1840</v>
      </c>
      <c r="I31" s="37" t="s">
        <v>20</v>
      </c>
      <c r="J31" s="37" t="s">
        <v>415</v>
      </c>
      <c r="K31" s="229">
        <v>45474</v>
      </c>
      <c r="L31" s="37" t="s">
        <v>2933</v>
      </c>
      <c r="M31" s="37" t="s">
        <v>5974</v>
      </c>
    </row>
    <row r="32" spans="1:13" ht="90">
      <c r="A32" s="37">
        <v>33</v>
      </c>
      <c r="B32" s="231" t="s">
        <v>6008</v>
      </c>
      <c r="C32" s="37" t="s">
        <v>34</v>
      </c>
      <c r="D32" s="37" t="s">
        <v>17</v>
      </c>
      <c r="E32" s="37">
        <v>5</v>
      </c>
      <c r="F32" s="37" t="s">
        <v>756</v>
      </c>
      <c r="G32" s="37" t="s">
        <v>6009</v>
      </c>
      <c r="H32" s="232">
        <v>1650</v>
      </c>
      <c r="I32" s="37" t="s">
        <v>20</v>
      </c>
      <c r="J32" s="37" t="s">
        <v>415</v>
      </c>
      <c r="K32" s="229">
        <v>45505</v>
      </c>
      <c r="L32" s="37" t="s">
        <v>2933</v>
      </c>
      <c r="M32" s="37" t="s">
        <v>5974</v>
      </c>
    </row>
    <row r="33" spans="1:13" ht="90">
      <c r="A33" s="37">
        <v>34</v>
      </c>
      <c r="B33" s="231" t="s">
        <v>6010</v>
      </c>
      <c r="C33" s="37" t="s">
        <v>34</v>
      </c>
      <c r="D33" s="37" t="s">
        <v>17</v>
      </c>
      <c r="E33" s="37">
        <v>35</v>
      </c>
      <c r="F33" s="37" t="s">
        <v>756</v>
      </c>
      <c r="G33" s="37" t="s">
        <v>6009</v>
      </c>
      <c r="H33" s="232">
        <v>3500</v>
      </c>
      <c r="I33" s="37" t="s">
        <v>20</v>
      </c>
      <c r="J33" s="37" t="s">
        <v>415</v>
      </c>
      <c r="K33" s="229">
        <v>45505</v>
      </c>
      <c r="L33" s="37" t="s">
        <v>2933</v>
      </c>
      <c r="M33" s="37" t="s">
        <v>5974</v>
      </c>
    </row>
    <row r="34" spans="1:13" ht="90">
      <c r="A34" s="37">
        <v>35</v>
      </c>
      <c r="B34" s="231" t="s">
        <v>6011</v>
      </c>
      <c r="C34" s="37" t="s">
        <v>34</v>
      </c>
      <c r="D34" s="37" t="s">
        <v>17</v>
      </c>
      <c r="E34" s="37">
        <v>60</v>
      </c>
      <c r="F34" s="37" t="s">
        <v>756</v>
      </c>
      <c r="G34" s="37" t="s">
        <v>6009</v>
      </c>
      <c r="H34" s="232">
        <v>29000</v>
      </c>
      <c r="I34" s="37" t="s">
        <v>20</v>
      </c>
      <c r="J34" s="37" t="s">
        <v>415</v>
      </c>
      <c r="K34" s="229">
        <v>45505</v>
      </c>
      <c r="L34" s="37" t="s">
        <v>2933</v>
      </c>
      <c r="M34" s="37" t="s">
        <v>5974</v>
      </c>
    </row>
    <row r="35" spans="1:13" ht="90">
      <c r="A35" s="37">
        <v>36</v>
      </c>
      <c r="B35" s="231" t="s">
        <v>6012</v>
      </c>
      <c r="C35" s="37" t="s">
        <v>34</v>
      </c>
      <c r="D35" s="37" t="s">
        <v>17</v>
      </c>
      <c r="E35" s="37">
        <v>25</v>
      </c>
      <c r="F35" s="37" t="s">
        <v>756</v>
      </c>
      <c r="G35" s="37" t="s">
        <v>6009</v>
      </c>
      <c r="H35" s="232">
        <v>17000</v>
      </c>
      <c r="I35" s="37" t="s">
        <v>20</v>
      </c>
      <c r="J35" s="37" t="s">
        <v>415</v>
      </c>
      <c r="K35" s="229">
        <v>45505</v>
      </c>
      <c r="L35" s="37" t="s">
        <v>2933</v>
      </c>
      <c r="M35" s="37" t="s">
        <v>5974</v>
      </c>
    </row>
    <row r="36" spans="1:13" ht="90">
      <c r="A36" s="37">
        <v>37</v>
      </c>
      <c r="B36" s="231" t="s">
        <v>6013</v>
      </c>
      <c r="C36" s="37" t="s">
        <v>34</v>
      </c>
      <c r="D36" s="37" t="s">
        <v>17</v>
      </c>
      <c r="E36" s="37">
        <v>15</v>
      </c>
      <c r="F36" s="37" t="s">
        <v>756</v>
      </c>
      <c r="G36" s="37" t="s">
        <v>6009</v>
      </c>
      <c r="H36" s="232">
        <v>2400</v>
      </c>
      <c r="I36" s="37" t="s">
        <v>20</v>
      </c>
      <c r="J36" s="37" t="s">
        <v>415</v>
      </c>
      <c r="K36" s="229">
        <v>45505</v>
      </c>
      <c r="L36" s="37" t="s">
        <v>2933</v>
      </c>
      <c r="M36" s="37" t="s">
        <v>5974</v>
      </c>
    </row>
    <row r="37" spans="1:13" ht="90">
      <c r="A37" s="37">
        <v>38</v>
      </c>
      <c r="B37" s="231" t="s">
        <v>6014</v>
      </c>
      <c r="C37" s="37" t="s">
        <v>34</v>
      </c>
      <c r="D37" s="37" t="s">
        <v>17</v>
      </c>
      <c r="E37" s="37">
        <v>35</v>
      </c>
      <c r="F37" s="37" t="s">
        <v>756</v>
      </c>
      <c r="G37" s="37" t="s">
        <v>6009</v>
      </c>
      <c r="H37" s="232">
        <v>17500</v>
      </c>
      <c r="I37" s="37" t="s">
        <v>20</v>
      </c>
      <c r="J37" s="37" t="s">
        <v>415</v>
      </c>
      <c r="K37" s="229">
        <v>45505</v>
      </c>
      <c r="L37" s="37" t="s">
        <v>2933</v>
      </c>
      <c r="M37" s="37" t="s">
        <v>5974</v>
      </c>
    </row>
    <row r="38" spans="1:13" ht="90">
      <c r="A38" s="37">
        <v>39</v>
      </c>
      <c r="B38" s="231" t="s">
        <v>6015</v>
      </c>
      <c r="C38" s="37" t="s">
        <v>34</v>
      </c>
      <c r="D38" s="37" t="s">
        <v>17</v>
      </c>
      <c r="E38" s="37">
        <v>35</v>
      </c>
      <c r="F38" s="37" t="s">
        <v>756</v>
      </c>
      <c r="G38" s="37" t="s">
        <v>6009</v>
      </c>
      <c r="H38" s="232">
        <v>2500</v>
      </c>
      <c r="I38" s="37" t="s">
        <v>20</v>
      </c>
      <c r="J38" s="37" t="s">
        <v>415</v>
      </c>
      <c r="K38" s="229">
        <v>45505</v>
      </c>
      <c r="L38" s="37" t="s">
        <v>2933</v>
      </c>
      <c r="M38" s="37" t="s">
        <v>5974</v>
      </c>
    </row>
    <row r="39" spans="1:13" ht="90">
      <c r="A39" s="37">
        <v>40</v>
      </c>
      <c r="B39" s="231" t="s">
        <v>6016</v>
      </c>
      <c r="C39" s="37" t="s">
        <v>34</v>
      </c>
      <c r="D39" s="37" t="s">
        <v>17</v>
      </c>
      <c r="E39" s="37">
        <v>35</v>
      </c>
      <c r="F39" s="37" t="s">
        <v>756</v>
      </c>
      <c r="G39" s="37" t="s">
        <v>6009</v>
      </c>
      <c r="H39" s="232">
        <v>1050</v>
      </c>
      <c r="I39" s="37" t="s">
        <v>20</v>
      </c>
      <c r="J39" s="37" t="s">
        <v>415</v>
      </c>
      <c r="K39" s="229">
        <v>45505</v>
      </c>
      <c r="L39" s="37" t="s">
        <v>2933</v>
      </c>
      <c r="M39" s="37" t="s">
        <v>5974</v>
      </c>
    </row>
    <row r="40" spans="1:13" ht="90">
      <c r="A40" s="37">
        <v>41</v>
      </c>
      <c r="B40" s="231" t="s">
        <v>6017</v>
      </c>
      <c r="C40" s="37" t="s">
        <v>34</v>
      </c>
      <c r="D40" s="37" t="s">
        <v>17</v>
      </c>
      <c r="E40" s="37">
        <v>25</v>
      </c>
      <c r="F40" s="37" t="s">
        <v>756</v>
      </c>
      <c r="G40" s="37" t="s">
        <v>6009</v>
      </c>
      <c r="H40" s="232">
        <v>5000</v>
      </c>
      <c r="I40" s="37" t="s">
        <v>20</v>
      </c>
      <c r="J40" s="37" t="s">
        <v>415</v>
      </c>
      <c r="K40" s="229">
        <v>45505</v>
      </c>
      <c r="L40" s="37" t="s">
        <v>2933</v>
      </c>
      <c r="M40" s="37" t="s">
        <v>5974</v>
      </c>
    </row>
    <row r="41" spans="1:13" ht="90">
      <c r="A41" s="37">
        <v>42</v>
      </c>
      <c r="B41" s="231" t="s">
        <v>6018</v>
      </c>
      <c r="C41" s="37" t="s">
        <v>34</v>
      </c>
      <c r="D41" s="37" t="s">
        <v>17</v>
      </c>
      <c r="E41" s="37">
        <v>48</v>
      </c>
      <c r="F41" s="37" t="s">
        <v>756</v>
      </c>
      <c r="G41" s="37" t="s">
        <v>6009</v>
      </c>
      <c r="H41" s="232">
        <v>8200</v>
      </c>
      <c r="I41" s="37" t="s">
        <v>20</v>
      </c>
      <c r="J41" s="37" t="s">
        <v>415</v>
      </c>
      <c r="K41" s="229">
        <v>45505</v>
      </c>
      <c r="L41" s="37" t="s">
        <v>2933</v>
      </c>
      <c r="M41" s="37" t="s">
        <v>5974</v>
      </c>
    </row>
    <row r="42" spans="1:13" ht="90">
      <c r="A42" s="37">
        <v>43</v>
      </c>
      <c r="B42" s="231" t="s">
        <v>6019</v>
      </c>
      <c r="C42" s="37" t="s">
        <v>34</v>
      </c>
      <c r="D42" s="37" t="s">
        <v>17</v>
      </c>
      <c r="E42" s="37">
        <v>90</v>
      </c>
      <c r="F42" s="37" t="s">
        <v>756</v>
      </c>
      <c r="G42" s="37" t="s">
        <v>6009</v>
      </c>
      <c r="H42" s="232">
        <v>14400</v>
      </c>
      <c r="I42" s="37" t="s">
        <v>20</v>
      </c>
      <c r="J42" s="37" t="s">
        <v>415</v>
      </c>
      <c r="K42" s="229">
        <v>45505</v>
      </c>
      <c r="L42" s="37" t="s">
        <v>2933</v>
      </c>
      <c r="M42" s="37" t="s">
        <v>5974</v>
      </c>
    </row>
    <row r="43" spans="1:13" ht="90">
      <c r="A43" s="37">
        <v>44</v>
      </c>
      <c r="B43" s="231" t="s">
        <v>6020</v>
      </c>
      <c r="C43" s="37" t="s">
        <v>34</v>
      </c>
      <c r="D43" s="37" t="s">
        <v>17</v>
      </c>
      <c r="E43" s="37">
        <v>70</v>
      </c>
      <c r="F43" s="37" t="s">
        <v>756</v>
      </c>
      <c r="G43" s="37" t="s">
        <v>6009</v>
      </c>
      <c r="H43" s="232">
        <v>9500</v>
      </c>
      <c r="I43" s="37" t="s">
        <v>20</v>
      </c>
      <c r="J43" s="37" t="s">
        <v>415</v>
      </c>
      <c r="K43" s="229">
        <v>45505</v>
      </c>
      <c r="L43" s="37" t="s">
        <v>2933</v>
      </c>
      <c r="M43" s="37" t="s">
        <v>5974</v>
      </c>
    </row>
    <row r="44" spans="1:13" ht="90">
      <c r="A44" s="37">
        <v>45</v>
      </c>
      <c r="B44" s="231" t="s">
        <v>6021</v>
      </c>
      <c r="C44" s="37" t="s">
        <v>34</v>
      </c>
      <c r="D44" s="37" t="s">
        <v>17</v>
      </c>
      <c r="E44" s="37">
        <v>105</v>
      </c>
      <c r="F44" s="37" t="s">
        <v>756</v>
      </c>
      <c r="G44" s="37" t="s">
        <v>6009</v>
      </c>
      <c r="H44" s="232">
        <v>10000</v>
      </c>
      <c r="I44" s="37" t="s">
        <v>20</v>
      </c>
      <c r="J44" s="37" t="s">
        <v>415</v>
      </c>
      <c r="K44" s="229">
        <v>45505</v>
      </c>
      <c r="L44" s="37" t="s">
        <v>2933</v>
      </c>
      <c r="M44" s="37" t="s">
        <v>5974</v>
      </c>
    </row>
    <row r="45" spans="1:13" ht="90">
      <c r="A45" s="37">
        <v>46</v>
      </c>
      <c r="B45" s="231" t="s">
        <v>6022</v>
      </c>
      <c r="C45" s="37" t="s">
        <v>34</v>
      </c>
      <c r="D45" s="37" t="s">
        <v>17</v>
      </c>
      <c r="E45" s="37">
        <v>20</v>
      </c>
      <c r="F45" s="37" t="s">
        <v>756</v>
      </c>
      <c r="G45" s="37" t="s">
        <v>6009</v>
      </c>
      <c r="H45" s="232">
        <v>1900</v>
      </c>
      <c r="I45" s="37" t="s">
        <v>20</v>
      </c>
      <c r="J45" s="37" t="s">
        <v>415</v>
      </c>
      <c r="K45" s="229">
        <v>45505</v>
      </c>
      <c r="L45" s="37" t="s">
        <v>2933</v>
      </c>
      <c r="M45" s="37" t="s">
        <v>5974</v>
      </c>
    </row>
    <row r="46" spans="1:13" ht="90">
      <c r="A46" s="37">
        <v>47</v>
      </c>
      <c r="B46" s="231" t="s">
        <v>6023</v>
      </c>
      <c r="C46" s="37" t="s">
        <v>34</v>
      </c>
      <c r="D46" s="37" t="s">
        <v>17</v>
      </c>
      <c r="E46" s="37">
        <v>70</v>
      </c>
      <c r="F46" s="37" t="s">
        <v>756</v>
      </c>
      <c r="G46" s="37" t="s">
        <v>6009</v>
      </c>
      <c r="H46" s="232">
        <v>5500</v>
      </c>
      <c r="I46" s="37" t="s">
        <v>20</v>
      </c>
      <c r="J46" s="37" t="s">
        <v>415</v>
      </c>
      <c r="K46" s="229">
        <v>45505</v>
      </c>
      <c r="L46" s="37" t="s">
        <v>2933</v>
      </c>
      <c r="M46" s="37" t="s">
        <v>5974</v>
      </c>
    </row>
    <row r="47" spans="1:13" ht="90">
      <c r="A47" s="37">
        <v>48</v>
      </c>
      <c r="B47" s="231" t="s">
        <v>6024</v>
      </c>
      <c r="C47" s="37" t="s">
        <v>34</v>
      </c>
      <c r="D47" s="37" t="s">
        <v>17</v>
      </c>
      <c r="E47" s="37">
        <v>10</v>
      </c>
      <c r="F47" s="37" t="s">
        <v>756</v>
      </c>
      <c r="G47" s="37" t="s">
        <v>6009</v>
      </c>
      <c r="H47" s="232">
        <v>770</v>
      </c>
      <c r="I47" s="37" t="s">
        <v>20</v>
      </c>
      <c r="J47" s="37" t="s">
        <v>415</v>
      </c>
      <c r="K47" s="229">
        <v>45505</v>
      </c>
      <c r="L47" s="37" t="s">
        <v>2933</v>
      </c>
      <c r="M47" s="37" t="s">
        <v>5974</v>
      </c>
    </row>
    <row r="48" spans="1:13" ht="90">
      <c r="A48" s="37">
        <v>49</v>
      </c>
      <c r="B48" s="231" t="s">
        <v>6025</v>
      </c>
      <c r="C48" s="37" t="s">
        <v>34</v>
      </c>
      <c r="D48" s="37" t="s">
        <v>17</v>
      </c>
      <c r="E48" s="37">
        <v>35</v>
      </c>
      <c r="F48" s="37" t="s">
        <v>756</v>
      </c>
      <c r="G48" s="37" t="s">
        <v>6009</v>
      </c>
      <c r="H48" s="232">
        <v>10500</v>
      </c>
      <c r="I48" s="37" t="s">
        <v>20</v>
      </c>
      <c r="J48" s="37" t="s">
        <v>415</v>
      </c>
      <c r="K48" s="229">
        <v>45505</v>
      </c>
      <c r="L48" s="37" t="s">
        <v>2933</v>
      </c>
      <c r="M48" s="37" t="s">
        <v>5974</v>
      </c>
    </row>
    <row r="49" spans="1:13" ht="90">
      <c r="A49" s="37">
        <v>50</v>
      </c>
      <c r="B49" s="231" t="s">
        <v>6026</v>
      </c>
      <c r="C49" s="37" t="s">
        <v>34</v>
      </c>
      <c r="D49" s="37" t="s">
        <v>17</v>
      </c>
      <c r="E49" s="37">
        <v>5</v>
      </c>
      <c r="F49" s="37" t="s">
        <v>756</v>
      </c>
      <c r="G49" s="37" t="s">
        <v>6009</v>
      </c>
      <c r="H49" s="232">
        <v>1600</v>
      </c>
      <c r="I49" s="37" t="s">
        <v>20</v>
      </c>
      <c r="J49" s="37" t="s">
        <v>415</v>
      </c>
      <c r="K49" s="229">
        <v>45505</v>
      </c>
      <c r="L49" s="37" t="s">
        <v>2933</v>
      </c>
      <c r="M49" s="37" t="s">
        <v>5974</v>
      </c>
    </row>
    <row r="50" spans="1:13" ht="90">
      <c r="A50" s="37">
        <v>51</v>
      </c>
      <c r="B50" s="231" t="s">
        <v>6027</v>
      </c>
      <c r="C50" s="37" t="s">
        <v>34</v>
      </c>
      <c r="D50" s="37" t="s">
        <v>17</v>
      </c>
      <c r="E50" s="37">
        <v>25</v>
      </c>
      <c r="F50" s="37" t="s">
        <v>756</v>
      </c>
      <c r="G50" s="37" t="s">
        <v>6009</v>
      </c>
      <c r="H50" s="232">
        <v>30000</v>
      </c>
      <c r="I50" s="37" t="s">
        <v>20</v>
      </c>
      <c r="J50" s="37" t="s">
        <v>415</v>
      </c>
      <c r="K50" s="229">
        <v>45505</v>
      </c>
      <c r="L50" s="37" t="s">
        <v>2933</v>
      </c>
      <c r="M50" s="37" t="s">
        <v>5974</v>
      </c>
    </row>
    <row r="51" spans="1:13" ht="90">
      <c r="A51" s="37">
        <v>52</v>
      </c>
      <c r="B51" s="231" t="s">
        <v>6028</v>
      </c>
      <c r="C51" s="37" t="s">
        <v>34</v>
      </c>
      <c r="D51" s="37" t="s">
        <v>17</v>
      </c>
      <c r="E51" s="37">
        <v>35</v>
      </c>
      <c r="F51" s="37" t="s">
        <v>756</v>
      </c>
      <c r="G51" s="37" t="s">
        <v>6009</v>
      </c>
      <c r="H51" s="232">
        <v>2450</v>
      </c>
      <c r="I51" s="37" t="s">
        <v>20</v>
      </c>
      <c r="J51" s="37" t="s">
        <v>415</v>
      </c>
      <c r="K51" s="229">
        <v>45505</v>
      </c>
      <c r="L51" s="37" t="s">
        <v>2933</v>
      </c>
      <c r="M51" s="37" t="s">
        <v>5974</v>
      </c>
    </row>
    <row r="52" spans="1:13" ht="90">
      <c r="A52" s="37">
        <v>53</v>
      </c>
      <c r="B52" s="231" t="s">
        <v>1132</v>
      </c>
      <c r="C52" s="37" t="s">
        <v>34</v>
      </c>
      <c r="D52" s="37" t="s">
        <v>17</v>
      </c>
      <c r="E52" s="37">
        <v>20</v>
      </c>
      <c r="F52" s="37" t="s">
        <v>756</v>
      </c>
      <c r="G52" s="37" t="s">
        <v>6029</v>
      </c>
      <c r="H52" s="232">
        <v>400</v>
      </c>
      <c r="I52" s="37" t="s">
        <v>20</v>
      </c>
      <c r="J52" s="37" t="s">
        <v>6000</v>
      </c>
      <c r="K52" s="229">
        <v>45383</v>
      </c>
      <c r="L52" s="37" t="s">
        <v>2933</v>
      </c>
      <c r="M52" s="37" t="s">
        <v>5974</v>
      </c>
    </row>
    <row r="53" spans="1:13" ht="90">
      <c r="A53" s="37">
        <v>54</v>
      </c>
      <c r="B53" s="231" t="s">
        <v>6030</v>
      </c>
      <c r="C53" s="37" t="s">
        <v>34</v>
      </c>
      <c r="D53" s="37" t="s">
        <v>17</v>
      </c>
      <c r="E53" s="37">
        <v>15</v>
      </c>
      <c r="F53" s="37" t="s">
        <v>756</v>
      </c>
      <c r="G53" s="37" t="s">
        <v>6029</v>
      </c>
      <c r="H53" s="232">
        <v>150</v>
      </c>
      <c r="I53" s="37" t="s">
        <v>20</v>
      </c>
      <c r="J53" s="37" t="s">
        <v>6000</v>
      </c>
      <c r="K53" s="229">
        <v>45383</v>
      </c>
      <c r="L53" s="37" t="s">
        <v>2933</v>
      </c>
      <c r="M53" s="37" t="s">
        <v>5974</v>
      </c>
    </row>
    <row r="54" spans="1:13" ht="90">
      <c r="A54" s="37">
        <v>55</v>
      </c>
      <c r="B54" s="231" t="s">
        <v>6031</v>
      </c>
      <c r="C54" s="37" t="s">
        <v>34</v>
      </c>
      <c r="D54" s="37" t="s">
        <v>17</v>
      </c>
      <c r="E54" s="37">
        <v>20</v>
      </c>
      <c r="F54" s="37" t="s">
        <v>756</v>
      </c>
      <c r="G54" s="37" t="s">
        <v>6029</v>
      </c>
      <c r="H54" s="232">
        <v>100</v>
      </c>
      <c r="I54" s="37" t="s">
        <v>20</v>
      </c>
      <c r="J54" s="37" t="s">
        <v>6000</v>
      </c>
      <c r="K54" s="229">
        <v>45383</v>
      </c>
      <c r="L54" s="37" t="s">
        <v>2933</v>
      </c>
      <c r="M54" s="37" t="s">
        <v>5974</v>
      </c>
    </row>
    <row r="55" spans="1:13" ht="90">
      <c r="A55" s="37">
        <v>56</v>
      </c>
      <c r="B55" s="231" t="s">
        <v>6032</v>
      </c>
      <c r="C55" s="37" t="s">
        <v>34</v>
      </c>
      <c r="D55" s="37" t="s">
        <v>17</v>
      </c>
      <c r="E55" s="37">
        <v>4</v>
      </c>
      <c r="F55" s="37" t="s">
        <v>756</v>
      </c>
      <c r="G55" s="37" t="s">
        <v>6029</v>
      </c>
      <c r="H55" s="232">
        <v>100</v>
      </c>
      <c r="I55" s="37" t="s">
        <v>20</v>
      </c>
      <c r="J55" s="37" t="s">
        <v>6000</v>
      </c>
      <c r="K55" s="229">
        <v>45383</v>
      </c>
      <c r="L55" s="37" t="s">
        <v>2933</v>
      </c>
      <c r="M55" s="37" t="s">
        <v>5974</v>
      </c>
    </row>
    <row r="56" spans="1:13" ht="90">
      <c r="A56" s="37">
        <v>57</v>
      </c>
      <c r="B56" s="231" t="s">
        <v>2760</v>
      </c>
      <c r="C56" s="37" t="s">
        <v>34</v>
      </c>
      <c r="D56" s="37" t="s">
        <v>17</v>
      </c>
      <c r="E56" s="37">
        <v>12</v>
      </c>
      <c r="F56" s="37" t="s">
        <v>756</v>
      </c>
      <c r="G56" s="37" t="s">
        <v>6029</v>
      </c>
      <c r="H56" s="232">
        <v>50</v>
      </c>
      <c r="I56" s="37" t="s">
        <v>20</v>
      </c>
      <c r="J56" s="37" t="s">
        <v>415</v>
      </c>
      <c r="K56" s="229">
        <v>45383</v>
      </c>
      <c r="L56" s="37" t="s">
        <v>2933</v>
      </c>
      <c r="M56" s="37" t="s">
        <v>5974</v>
      </c>
    </row>
    <row r="57" spans="1:13" ht="90">
      <c r="A57" s="37">
        <v>58</v>
      </c>
      <c r="B57" s="231" t="s">
        <v>6033</v>
      </c>
      <c r="C57" s="37" t="s">
        <v>34</v>
      </c>
      <c r="D57" s="37" t="s">
        <v>17</v>
      </c>
      <c r="E57" s="37">
        <v>500</v>
      </c>
      <c r="F57" s="37" t="s">
        <v>756</v>
      </c>
      <c r="G57" s="37" t="s">
        <v>6029</v>
      </c>
      <c r="H57" s="232">
        <v>750</v>
      </c>
      <c r="I57" s="37" t="s">
        <v>20</v>
      </c>
      <c r="J57" s="37" t="s">
        <v>415</v>
      </c>
      <c r="K57" s="229">
        <v>45383</v>
      </c>
      <c r="L57" s="37" t="s">
        <v>2933</v>
      </c>
      <c r="M57" s="37" t="s">
        <v>5974</v>
      </c>
    </row>
    <row r="58" spans="1:13" ht="90">
      <c r="A58" s="37">
        <v>59</v>
      </c>
      <c r="B58" s="231" t="s">
        <v>6034</v>
      </c>
      <c r="C58" s="37" t="s">
        <v>34</v>
      </c>
      <c r="D58" s="37" t="s">
        <v>17</v>
      </c>
      <c r="E58" s="37">
        <v>500</v>
      </c>
      <c r="F58" s="37" t="s">
        <v>756</v>
      </c>
      <c r="G58" s="37" t="s">
        <v>6035</v>
      </c>
      <c r="H58" s="232">
        <v>2500</v>
      </c>
      <c r="I58" s="37" t="s">
        <v>20</v>
      </c>
      <c r="J58" s="37" t="s">
        <v>415</v>
      </c>
      <c r="K58" s="229">
        <v>45383</v>
      </c>
      <c r="L58" s="37" t="s">
        <v>2933</v>
      </c>
      <c r="M58" s="37" t="s">
        <v>5974</v>
      </c>
    </row>
    <row r="59" spans="1:13" ht="90">
      <c r="A59" s="37">
        <v>60</v>
      </c>
      <c r="B59" s="231" t="s">
        <v>6036</v>
      </c>
      <c r="C59" s="37" t="s">
        <v>34</v>
      </c>
      <c r="D59" s="37" t="s">
        <v>17</v>
      </c>
      <c r="E59" s="37">
        <v>20</v>
      </c>
      <c r="F59" s="37" t="s">
        <v>756</v>
      </c>
      <c r="G59" s="37" t="s">
        <v>6035</v>
      </c>
      <c r="H59" s="232">
        <v>200</v>
      </c>
      <c r="I59" s="37" t="s">
        <v>20</v>
      </c>
      <c r="J59" s="37" t="s">
        <v>415</v>
      </c>
      <c r="K59" s="229">
        <v>45383</v>
      </c>
      <c r="L59" s="37" t="s">
        <v>2933</v>
      </c>
      <c r="M59" s="37" t="s">
        <v>5974</v>
      </c>
    </row>
    <row r="60" spans="1:13" ht="90">
      <c r="A60" s="37">
        <v>61</v>
      </c>
      <c r="B60" s="231" t="s">
        <v>6037</v>
      </c>
      <c r="C60" s="37" t="s">
        <v>34</v>
      </c>
      <c r="D60" s="37" t="s">
        <v>17</v>
      </c>
      <c r="E60" s="37">
        <v>10</v>
      </c>
      <c r="F60" s="37" t="s">
        <v>756</v>
      </c>
      <c r="G60" s="37" t="s">
        <v>6035</v>
      </c>
      <c r="H60" s="232">
        <v>100</v>
      </c>
      <c r="I60" s="37" t="s">
        <v>20</v>
      </c>
      <c r="J60" s="37" t="s">
        <v>415</v>
      </c>
      <c r="K60" s="229">
        <v>45383</v>
      </c>
      <c r="L60" s="37" t="s">
        <v>2933</v>
      </c>
      <c r="M60" s="37" t="s">
        <v>5974</v>
      </c>
    </row>
    <row r="61" spans="1:13" ht="90">
      <c r="A61" s="37">
        <v>62</v>
      </c>
      <c r="B61" s="231" t="s">
        <v>6038</v>
      </c>
      <c r="C61" s="37" t="s">
        <v>34</v>
      </c>
      <c r="D61" s="37" t="s">
        <v>17</v>
      </c>
      <c r="E61" s="37">
        <v>700</v>
      </c>
      <c r="F61" s="37" t="s">
        <v>756</v>
      </c>
      <c r="G61" s="37" t="s">
        <v>6039</v>
      </c>
      <c r="H61" s="232">
        <v>10000</v>
      </c>
      <c r="I61" s="37" t="s">
        <v>20</v>
      </c>
      <c r="J61" s="37" t="s">
        <v>415</v>
      </c>
      <c r="K61" s="229">
        <v>45383</v>
      </c>
      <c r="L61" s="37" t="s">
        <v>2933</v>
      </c>
      <c r="M61" s="37" t="s">
        <v>5974</v>
      </c>
    </row>
    <row r="62" spans="1:13" ht="90">
      <c r="A62" s="37">
        <v>63</v>
      </c>
      <c r="B62" s="231" t="s">
        <v>6040</v>
      </c>
      <c r="C62" s="37" t="s">
        <v>34</v>
      </c>
      <c r="D62" s="37" t="s">
        <v>17</v>
      </c>
      <c r="E62" s="37">
        <v>30</v>
      </c>
      <c r="F62" s="37" t="s">
        <v>2294</v>
      </c>
      <c r="G62" s="37" t="s">
        <v>6039</v>
      </c>
      <c r="H62" s="232">
        <v>360</v>
      </c>
      <c r="I62" s="37" t="s">
        <v>20</v>
      </c>
      <c r="J62" s="37" t="s">
        <v>6000</v>
      </c>
      <c r="K62" s="229">
        <v>45383</v>
      </c>
      <c r="L62" s="37" t="s">
        <v>2933</v>
      </c>
      <c r="M62" s="37" t="s">
        <v>5974</v>
      </c>
    </row>
    <row r="63" spans="1:13" ht="90">
      <c r="A63" s="37">
        <v>64</v>
      </c>
      <c r="B63" s="231" t="s">
        <v>6041</v>
      </c>
      <c r="C63" s="37" t="s">
        <v>34</v>
      </c>
      <c r="D63" s="37" t="s">
        <v>17</v>
      </c>
      <c r="E63" s="37">
        <v>10</v>
      </c>
      <c r="F63" s="37" t="s">
        <v>2294</v>
      </c>
      <c r="G63" s="37" t="s">
        <v>6039</v>
      </c>
      <c r="H63" s="232">
        <v>180</v>
      </c>
      <c r="I63" s="37" t="s">
        <v>20</v>
      </c>
      <c r="J63" s="37" t="s">
        <v>6000</v>
      </c>
      <c r="K63" s="229">
        <v>45383</v>
      </c>
      <c r="L63" s="37" t="s">
        <v>2933</v>
      </c>
      <c r="M63" s="37" t="s">
        <v>5974</v>
      </c>
    </row>
    <row r="64" spans="1:13" ht="90">
      <c r="A64" s="37">
        <v>65</v>
      </c>
      <c r="B64" s="231" t="s">
        <v>6042</v>
      </c>
      <c r="C64" s="37" t="s">
        <v>34</v>
      </c>
      <c r="D64" s="37" t="s">
        <v>17</v>
      </c>
      <c r="E64" s="37">
        <v>4</v>
      </c>
      <c r="F64" s="37" t="s">
        <v>756</v>
      </c>
      <c r="G64" s="37" t="s">
        <v>6039</v>
      </c>
      <c r="H64" s="232">
        <v>58500</v>
      </c>
      <c r="I64" s="37" t="s">
        <v>20</v>
      </c>
      <c r="J64" s="37" t="s">
        <v>415</v>
      </c>
      <c r="K64" s="229">
        <v>45383</v>
      </c>
      <c r="L64" s="37" t="s">
        <v>2933</v>
      </c>
      <c r="M64" s="37" t="s">
        <v>5974</v>
      </c>
    </row>
    <row r="65" spans="1:13" ht="90">
      <c r="A65" s="37">
        <v>66</v>
      </c>
      <c r="B65" s="231" t="s">
        <v>2674</v>
      </c>
      <c r="C65" s="37" t="s">
        <v>34</v>
      </c>
      <c r="D65" s="37" t="s">
        <v>17</v>
      </c>
      <c r="E65" s="37">
        <v>200</v>
      </c>
      <c r="F65" s="37" t="s">
        <v>2343</v>
      </c>
      <c r="G65" s="37" t="s">
        <v>6039</v>
      </c>
      <c r="H65" s="232">
        <v>3000</v>
      </c>
      <c r="I65" s="37" t="s">
        <v>20</v>
      </c>
      <c r="J65" s="37" t="s">
        <v>415</v>
      </c>
      <c r="K65" s="229">
        <v>45383</v>
      </c>
      <c r="L65" s="37" t="s">
        <v>2933</v>
      </c>
      <c r="M65" s="37" t="s">
        <v>5974</v>
      </c>
    </row>
    <row r="66" spans="1:13" ht="90">
      <c r="A66" s="37">
        <v>67</v>
      </c>
      <c r="B66" s="231" t="s">
        <v>6043</v>
      </c>
      <c r="C66" s="37" t="s">
        <v>34</v>
      </c>
      <c r="D66" s="37" t="s">
        <v>17</v>
      </c>
      <c r="E66" s="37">
        <v>250</v>
      </c>
      <c r="F66" s="37" t="s">
        <v>2343</v>
      </c>
      <c r="G66" s="37" t="s">
        <v>6039</v>
      </c>
      <c r="H66" s="232">
        <v>1250</v>
      </c>
      <c r="I66" s="37" t="s">
        <v>20</v>
      </c>
      <c r="J66" s="37" t="s">
        <v>415</v>
      </c>
      <c r="K66" s="229">
        <v>45383</v>
      </c>
      <c r="L66" s="37" t="s">
        <v>2933</v>
      </c>
      <c r="M66" s="37" t="s">
        <v>5974</v>
      </c>
    </row>
    <row r="67" spans="1:13" ht="90">
      <c r="A67" s="37">
        <v>68</v>
      </c>
      <c r="B67" s="231" t="s">
        <v>6044</v>
      </c>
      <c r="C67" s="37" t="s">
        <v>34</v>
      </c>
      <c r="D67" s="37" t="s">
        <v>17</v>
      </c>
      <c r="E67" s="37">
        <v>4</v>
      </c>
      <c r="F67" s="37" t="s">
        <v>756</v>
      </c>
      <c r="G67" s="37" t="s">
        <v>6029</v>
      </c>
      <c r="H67" s="232">
        <v>28000</v>
      </c>
      <c r="I67" s="37" t="s">
        <v>20</v>
      </c>
      <c r="J67" s="37" t="s">
        <v>415</v>
      </c>
      <c r="K67" s="229">
        <v>45323</v>
      </c>
      <c r="L67" s="37" t="s">
        <v>2933</v>
      </c>
      <c r="M67" s="37" t="s">
        <v>5974</v>
      </c>
    </row>
    <row r="68" spans="1:13" ht="90">
      <c r="A68" s="37">
        <v>69</v>
      </c>
      <c r="B68" s="231" t="s">
        <v>6045</v>
      </c>
      <c r="C68" s="37" t="s">
        <v>34</v>
      </c>
      <c r="D68" s="37" t="s">
        <v>17</v>
      </c>
      <c r="E68" s="37">
        <v>1</v>
      </c>
      <c r="F68" s="37" t="s">
        <v>756</v>
      </c>
      <c r="G68" s="37" t="s">
        <v>6046</v>
      </c>
      <c r="H68" s="232">
        <v>10000</v>
      </c>
      <c r="I68" s="37" t="s">
        <v>20</v>
      </c>
      <c r="J68" s="37" t="s">
        <v>6000</v>
      </c>
      <c r="K68" s="229">
        <v>45323</v>
      </c>
      <c r="L68" s="37" t="s">
        <v>2933</v>
      </c>
      <c r="M68" s="37" t="s">
        <v>5974</v>
      </c>
    </row>
    <row r="69" spans="1:13" ht="90">
      <c r="A69" s="37">
        <v>70</v>
      </c>
      <c r="B69" s="231" t="s">
        <v>174</v>
      </c>
      <c r="C69" s="37" t="s">
        <v>34</v>
      </c>
      <c r="D69" s="37" t="s">
        <v>17</v>
      </c>
      <c r="E69" s="37">
        <v>1</v>
      </c>
      <c r="F69" s="37" t="s">
        <v>756</v>
      </c>
      <c r="G69" s="37" t="s">
        <v>6047</v>
      </c>
      <c r="H69" s="232">
        <v>7000</v>
      </c>
      <c r="I69" s="37" t="s">
        <v>20</v>
      </c>
      <c r="J69" s="37" t="s">
        <v>415</v>
      </c>
      <c r="K69" s="229">
        <v>45323</v>
      </c>
      <c r="L69" s="37" t="s">
        <v>2933</v>
      </c>
      <c r="M69" s="37" t="s">
        <v>5974</v>
      </c>
    </row>
    <row r="70" spans="1:13" ht="90">
      <c r="A70" s="37">
        <v>71</v>
      </c>
      <c r="B70" s="231" t="s">
        <v>6048</v>
      </c>
      <c r="C70" s="37" t="s">
        <v>34</v>
      </c>
      <c r="D70" s="37" t="s">
        <v>17</v>
      </c>
      <c r="E70" s="37">
        <v>1</v>
      </c>
      <c r="F70" s="37" t="s">
        <v>756</v>
      </c>
      <c r="G70" s="37" t="s">
        <v>6047</v>
      </c>
      <c r="H70" s="232">
        <v>5000</v>
      </c>
      <c r="I70" s="37" t="s">
        <v>20</v>
      </c>
      <c r="J70" s="37" t="s">
        <v>415</v>
      </c>
      <c r="K70" s="229">
        <v>45323</v>
      </c>
      <c r="L70" s="37" t="s">
        <v>2933</v>
      </c>
      <c r="M70" s="37" t="s">
        <v>5974</v>
      </c>
    </row>
    <row r="71" spans="1:13" ht="90">
      <c r="A71" s="37">
        <v>72</v>
      </c>
      <c r="B71" s="231" t="s">
        <v>6049</v>
      </c>
      <c r="C71" s="37" t="s">
        <v>34</v>
      </c>
      <c r="D71" s="37" t="s">
        <v>17</v>
      </c>
      <c r="E71" s="37">
        <v>10</v>
      </c>
      <c r="F71" s="37" t="s">
        <v>756</v>
      </c>
      <c r="G71" s="37" t="s">
        <v>6029</v>
      </c>
      <c r="H71" s="232">
        <v>300</v>
      </c>
      <c r="I71" s="37" t="s">
        <v>20</v>
      </c>
      <c r="J71" s="37" t="s">
        <v>415</v>
      </c>
      <c r="K71" s="229">
        <v>45383</v>
      </c>
      <c r="L71" s="37" t="s">
        <v>2933</v>
      </c>
      <c r="M71" s="37" t="s">
        <v>5974</v>
      </c>
    </row>
    <row r="72" spans="1:13" ht="90">
      <c r="A72" s="37">
        <v>73</v>
      </c>
      <c r="B72" s="231" t="s">
        <v>6050</v>
      </c>
      <c r="C72" s="37" t="s">
        <v>34</v>
      </c>
      <c r="D72" s="37" t="s">
        <v>17</v>
      </c>
      <c r="E72" s="37">
        <v>10</v>
      </c>
      <c r="F72" s="37" t="s">
        <v>756</v>
      </c>
      <c r="G72" s="37" t="s">
        <v>6029</v>
      </c>
      <c r="H72" s="232">
        <v>200</v>
      </c>
      <c r="I72" s="37" t="s">
        <v>20</v>
      </c>
      <c r="J72" s="37" t="s">
        <v>415</v>
      </c>
      <c r="K72" s="229">
        <v>45383</v>
      </c>
      <c r="L72" s="37" t="s">
        <v>2933</v>
      </c>
      <c r="M72" s="37" t="s">
        <v>5974</v>
      </c>
    </row>
    <row r="73" spans="1:13" ht="90">
      <c r="A73" s="37">
        <v>74</v>
      </c>
      <c r="B73" s="231" t="s">
        <v>6051</v>
      </c>
      <c r="C73" s="37" t="s">
        <v>34</v>
      </c>
      <c r="D73" s="37" t="s">
        <v>17</v>
      </c>
      <c r="E73" s="37">
        <v>10</v>
      </c>
      <c r="F73" s="37" t="s">
        <v>756</v>
      </c>
      <c r="G73" s="37" t="s">
        <v>6029</v>
      </c>
      <c r="H73" s="232">
        <v>150</v>
      </c>
      <c r="I73" s="37" t="s">
        <v>20</v>
      </c>
      <c r="J73" s="37" t="s">
        <v>415</v>
      </c>
      <c r="K73" s="229">
        <v>45383</v>
      </c>
      <c r="L73" s="37" t="s">
        <v>2933</v>
      </c>
      <c r="M73" s="37" t="s">
        <v>5974</v>
      </c>
    </row>
    <row r="74" spans="1:13" ht="90">
      <c r="A74" s="37">
        <v>75</v>
      </c>
      <c r="B74" s="231" t="s">
        <v>6052</v>
      </c>
      <c r="C74" s="37" t="s">
        <v>34</v>
      </c>
      <c r="D74" s="37" t="s">
        <v>17</v>
      </c>
      <c r="E74" s="37">
        <v>20</v>
      </c>
      <c r="F74" s="37" t="s">
        <v>756</v>
      </c>
      <c r="G74" s="37" t="s">
        <v>6029</v>
      </c>
      <c r="H74" s="232">
        <v>150</v>
      </c>
      <c r="I74" s="37" t="s">
        <v>20</v>
      </c>
      <c r="J74" s="37" t="s">
        <v>415</v>
      </c>
      <c r="K74" s="229">
        <v>45383</v>
      </c>
      <c r="L74" s="37" t="s">
        <v>2933</v>
      </c>
      <c r="M74" s="37" t="s">
        <v>5974</v>
      </c>
    </row>
    <row r="75" spans="1:13" ht="90">
      <c r="A75" s="37">
        <v>76</v>
      </c>
      <c r="B75" s="231" t="s">
        <v>6053</v>
      </c>
      <c r="C75" s="37" t="s">
        <v>34</v>
      </c>
      <c r="D75" s="37" t="s">
        <v>17</v>
      </c>
      <c r="E75" s="37">
        <v>5</v>
      </c>
      <c r="F75" s="37" t="s">
        <v>756</v>
      </c>
      <c r="G75" s="37" t="s">
        <v>6029</v>
      </c>
      <c r="H75" s="232">
        <v>20</v>
      </c>
      <c r="I75" s="37" t="s">
        <v>20</v>
      </c>
      <c r="J75" s="37" t="s">
        <v>415</v>
      </c>
      <c r="K75" s="229">
        <v>45383</v>
      </c>
      <c r="L75" s="37" t="s">
        <v>2933</v>
      </c>
      <c r="M75" s="37" t="s">
        <v>5974</v>
      </c>
    </row>
    <row r="76" spans="1:13" ht="90">
      <c r="A76" s="37">
        <v>77</v>
      </c>
      <c r="B76" s="231" t="s">
        <v>5659</v>
      </c>
      <c r="C76" s="37" t="s">
        <v>34</v>
      </c>
      <c r="D76" s="37" t="s">
        <v>17</v>
      </c>
      <c r="E76" s="37">
        <v>5</v>
      </c>
      <c r="F76" s="37" t="s">
        <v>756</v>
      </c>
      <c r="G76" s="37" t="s">
        <v>6029</v>
      </c>
      <c r="H76" s="232">
        <v>100</v>
      </c>
      <c r="I76" s="37" t="s">
        <v>20</v>
      </c>
      <c r="J76" s="37" t="s">
        <v>6000</v>
      </c>
      <c r="K76" s="229">
        <v>45383</v>
      </c>
      <c r="L76" s="37" t="s">
        <v>2933</v>
      </c>
      <c r="M76" s="37" t="s">
        <v>5974</v>
      </c>
    </row>
    <row r="77" spans="1:13" ht="90">
      <c r="A77" s="37">
        <v>78</v>
      </c>
      <c r="B77" s="231" t="s">
        <v>6054</v>
      </c>
      <c r="C77" s="37" t="s">
        <v>34</v>
      </c>
      <c r="D77" s="37" t="s">
        <v>17</v>
      </c>
      <c r="E77" s="37">
        <v>5</v>
      </c>
      <c r="F77" s="37" t="s">
        <v>756</v>
      </c>
      <c r="G77" s="37" t="s">
        <v>6029</v>
      </c>
      <c r="H77" s="232">
        <v>40</v>
      </c>
      <c r="I77" s="37" t="s">
        <v>20</v>
      </c>
      <c r="J77" s="37" t="s">
        <v>6000</v>
      </c>
      <c r="K77" s="229">
        <v>45383</v>
      </c>
      <c r="L77" s="37" t="s">
        <v>2933</v>
      </c>
      <c r="M77" s="37" t="s">
        <v>5974</v>
      </c>
    </row>
    <row r="78" spans="1:13" ht="90">
      <c r="A78" s="37">
        <v>79</v>
      </c>
      <c r="B78" s="231" t="s">
        <v>6055</v>
      </c>
      <c r="C78" s="37" t="s">
        <v>34</v>
      </c>
      <c r="D78" s="37" t="s">
        <v>17</v>
      </c>
      <c r="E78" s="37">
        <v>5</v>
      </c>
      <c r="F78" s="37" t="s">
        <v>756</v>
      </c>
      <c r="G78" s="37" t="s">
        <v>6029</v>
      </c>
      <c r="H78" s="232">
        <v>40</v>
      </c>
      <c r="I78" s="37" t="s">
        <v>20</v>
      </c>
      <c r="J78" s="37" t="s">
        <v>6000</v>
      </c>
      <c r="K78" s="229">
        <v>45383</v>
      </c>
      <c r="L78" s="37" t="s">
        <v>2933</v>
      </c>
      <c r="M78" s="37" t="s">
        <v>5974</v>
      </c>
    </row>
    <row r="79" spans="1:13" ht="90">
      <c r="A79" s="37">
        <v>80</v>
      </c>
      <c r="B79" s="231" t="s">
        <v>5653</v>
      </c>
      <c r="C79" s="37" t="s">
        <v>34</v>
      </c>
      <c r="D79" s="37" t="s">
        <v>17</v>
      </c>
      <c r="E79" s="37">
        <v>4</v>
      </c>
      <c r="F79" s="37" t="s">
        <v>756</v>
      </c>
      <c r="G79" s="37" t="s">
        <v>6029</v>
      </c>
      <c r="H79" s="232">
        <v>100</v>
      </c>
      <c r="I79" s="37" t="s">
        <v>20</v>
      </c>
      <c r="J79" s="37" t="s">
        <v>6000</v>
      </c>
      <c r="K79" s="229">
        <v>45383</v>
      </c>
      <c r="L79" s="37" t="s">
        <v>2933</v>
      </c>
      <c r="M79" s="37" t="s">
        <v>5974</v>
      </c>
    </row>
    <row r="80" spans="1:13" ht="90">
      <c r="A80" s="37">
        <v>81</v>
      </c>
      <c r="B80" s="231" t="s">
        <v>6056</v>
      </c>
      <c r="C80" s="37" t="s">
        <v>34</v>
      </c>
      <c r="D80" s="37" t="s">
        <v>17</v>
      </c>
      <c r="E80" s="37">
        <v>10</v>
      </c>
      <c r="F80" s="37" t="s">
        <v>756</v>
      </c>
      <c r="G80" s="37" t="s">
        <v>6029</v>
      </c>
      <c r="H80" s="232">
        <v>100</v>
      </c>
      <c r="I80" s="37" t="s">
        <v>20</v>
      </c>
      <c r="J80" s="37" t="s">
        <v>6000</v>
      </c>
      <c r="K80" s="229">
        <v>45383</v>
      </c>
      <c r="L80" s="37" t="s">
        <v>2933</v>
      </c>
      <c r="M80" s="37" t="s">
        <v>5974</v>
      </c>
    </row>
    <row r="81" spans="1:13" ht="90">
      <c r="A81" s="37">
        <v>82</v>
      </c>
      <c r="B81" s="231" t="s">
        <v>6057</v>
      </c>
      <c r="C81" s="37" t="s">
        <v>34</v>
      </c>
      <c r="D81" s="37" t="s">
        <v>17</v>
      </c>
      <c r="E81" s="37">
        <v>200</v>
      </c>
      <c r="F81" s="37" t="s">
        <v>756</v>
      </c>
      <c r="G81" s="37" t="s">
        <v>6029</v>
      </c>
      <c r="H81" s="232">
        <v>150</v>
      </c>
      <c r="I81" s="37" t="s">
        <v>20</v>
      </c>
      <c r="J81" s="37" t="s">
        <v>6000</v>
      </c>
      <c r="K81" s="229">
        <v>45383</v>
      </c>
      <c r="L81" s="37" t="s">
        <v>2933</v>
      </c>
      <c r="M81" s="37" t="s">
        <v>5974</v>
      </c>
    </row>
    <row r="82" spans="1:13" ht="90">
      <c r="A82" s="37">
        <v>83</v>
      </c>
      <c r="B82" s="231" t="s">
        <v>6058</v>
      </c>
      <c r="C82" s="37" t="s">
        <v>34</v>
      </c>
      <c r="D82" s="37" t="s">
        <v>17</v>
      </c>
      <c r="E82" s="37">
        <v>2</v>
      </c>
      <c r="F82" s="37" t="s">
        <v>756</v>
      </c>
      <c r="G82" s="37" t="s">
        <v>6029</v>
      </c>
      <c r="H82" s="232">
        <v>120</v>
      </c>
      <c r="I82" s="37" t="s">
        <v>20</v>
      </c>
      <c r="J82" s="37" t="s">
        <v>415</v>
      </c>
      <c r="K82" s="229">
        <v>45383</v>
      </c>
      <c r="L82" s="37" t="s">
        <v>2933</v>
      </c>
      <c r="M82" s="37" t="s">
        <v>5974</v>
      </c>
    </row>
    <row r="83" spans="1:13" ht="90">
      <c r="A83" s="37">
        <v>84</v>
      </c>
      <c r="B83" s="231" t="s">
        <v>6059</v>
      </c>
      <c r="C83" s="37" t="s">
        <v>34</v>
      </c>
      <c r="D83" s="37" t="s">
        <v>17</v>
      </c>
      <c r="E83" s="37">
        <v>5</v>
      </c>
      <c r="F83" s="37" t="s">
        <v>756</v>
      </c>
      <c r="G83" s="37" t="s">
        <v>6029</v>
      </c>
      <c r="H83" s="232">
        <v>170</v>
      </c>
      <c r="I83" s="37" t="s">
        <v>20</v>
      </c>
      <c r="J83" s="37" t="s">
        <v>415</v>
      </c>
      <c r="K83" s="229">
        <v>45383</v>
      </c>
      <c r="L83" s="37" t="s">
        <v>2933</v>
      </c>
      <c r="M83" s="37" t="s">
        <v>5974</v>
      </c>
    </row>
    <row r="84" spans="1:13" ht="90">
      <c r="A84" s="37">
        <v>85</v>
      </c>
      <c r="B84" s="231" t="s">
        <v>6060</v>
      </c>
      <c r="C84" s="37" t="s">
        <v>34</v>
      </c>
      <c r="D84" s="37" t="s">
        <v>17</v>
      </c>
      <c r="E84" s="37">
        <v>5</v>
      </c>
      <c r="F84" s="37" t="s">
        <v>756</v>
      </c>
      <c r="G84" s="37" t="s">
        <v>6029</v>
      </c>
      <c r="H84" s="232">
        <v>180</v>
      </c>
      <c r="I84" s="37" t="s">
        <v>20</v>
      </c>
      <c r="J84" s="37" t="s">
        <v>415</v>
      </c>
      <c r="K84" s="229">
        <v>45383</v>
      </c>
      <c r="L84" s="37" t="s">
        <v>2933</v>
      </c>
      <c r="M84" s="37" t="s">
        <v>5974</v>
      </c>
    </row>
    <row r="85" spans="1:13" ht="90">
      <c r="A85" s="37">
        <v>86</v>
      </c>
      <c r="B85" s="231" t="s">
        <v>6061</v>
      </c>
      <c r="C85" s="37" t="s">
        <v>34</v>
      </c>
      <c r="D85" s="37" t="s">
        <v>17</v>
      </c>
      <c r="E85" s="37">
        <v>5</v>
      </c>
      <c r="F85" s="37" t="s">
        <v>756</v>
      </c>
      <c r="G85" s="37" t="s">
        <v>6029</v>
      </c>
      <c r="H85" s="232">
        <v>60</v>
      </c>
      <c r="I85" s="37" t="s">
        <v>20</v>
      </c>
      <c r="J85" s="37" t="s">
        <v>415</v>
      </c>
      <c r="K85" s="229">
        <v>45383</v>
      </c>
      <c r="L85" s="37" t="s">
        <v>2933</v>
      </c>
      <c r="M85" s="37" t="s">
        <v>5974</v>
      </c>
    </row>
    <row r="86" spans="1:13" ht="90">
      <c r="A86" s="37">
        <v>87</v>
      </c>
      <c r="B86" s="231" t="s">
        <v>6062</v>
      </c>
      <c r="C86" s="37" t="s">
        <v>34</v>
      </c>
      <c r="D86" s="37" t="s">
        <v>17</v>
      </c>
      <c r="E86" s="37">
        <v>10</v>
      </c>
      <c r="F86" s="37" t="s">
        <v>756</v>
      </c>
      <c r="G86" s="37" t="s">
        <v>6029</v>
      </c>
      <c r="H86" s="232">
        <v>200</v>
      </c>
      <c r="I86" s="37" t="s">
        <v>20</v>
      </c>
      <c r="J86" s="37" t="s">
        <v>415</v>
      </c>
      <c r="K86" s="229">
        <v>45383</v>
      </c>
      <c r="L86" s="37" t="s">
        <v>2933</v>
      </c>
      <c r="M86" s="37" t="s">
        <v>5974</v>
      </c>
    </row>
    <row r="87" spans="1:13" ht="90">
      <c r="A87" s="37">
        <v>88</v>
      </c>
      <c r="B87" s="231" t="s">
        <v>6063</v>
      </c>
      <c r="C87" s="37" t="s">
        <v>34</v>
      </c>
      <c r="D87" s="37" t="s">
        <v>17</v>
      </c>
      <c r="E87" s="37">
        <v>20</v>
      </c>
      <c r="F87" s="37" t="s">
        <v>2337</v>
      </c>
      <c r="G87" s="37" t="s">
        <v>6029</v>
      </c>
      <c r="H87" s="232">
        <v>4000</v>
      </c>
      <c r="I87" s="37" t="s">
        <v>20</v>
      </c>
      <c r="J87" s="37" t="s">
        <v>415</v>
      </c>
      <c r="K87" s="229">
        <v>45383</v>
      </c>
      <c r="L87" s="37" t="s">
        <v>2933</v>
      </c>
      <c r="M87" s="37" t="s">
        <v>5974</v>
      </c>
    </row>
    <row r="88" spans="1:13" ht="90">
      <c r="A88" s="37">
        <v>89</v>
      </c>
      <c r="B88" s="231" t="s">
        <v>95</v>
      </c>
      <c r="C88" s="37" t="s">
        <v>34</v>
      </c>
      <c r="D88" s="37" t="s">
        <v>17</v>
      </c>
      <c r="E88" s="37">
        <v>20</v>
      </c>
      <c r="F88" s="37" t="s">
        <v>756</v>
      </c>
      <c r="G88" s="37" t="s">
        <v>6029</v>
      </c>
      <c r="H88" s="232">
        <v>500</v>
      </c>
      <c r="I88" s="37" t="s">
        <v>20</v>
      </c>
      <c r="J88" s="37" t="s">
        <v>415</v>
      </c>
      <c r="K88" s="229">
        <v>45383</v>
      </c>
      <c r="L88" s="37" t="s">
        <v>2933</v>
      </c>
      <c r="M88" s="37" t="s">
        <v>5974</v>
      </c>
    </row>
    <row r="89" spans="1:13" ht="90">
      <c r="A89" s="37">
        <v>90</v>
      </c>
      <c r="B89" s="231" t="s">
        <v>6064</v>
      </c>
      <c r="C89" s="37" t="s">
        <v>34</v>
      </c>
      <c r="D89" s="37" t="s">
        <v>17</v>
      </c>
      <c r="E89" s="37">
        <v>20</v>
      </c>
      <c r="F89" s="37" t="s">
        <v>756</v>
      </c>
      <c r="G89" s="37" t="s">
        <v>6029</v>
      </c>
      <c r="H89" s="232">
        <v>200</v>
      </c>
      <c r="I89" s="37" t="s">
        <v>20</v>
      </c>
      <c r="J89" s="37" t="s">
        <v>415</v>
      </c>
      <c r="K89" s="229">
        <v>45383</v>
      </c>
      <c r="L89" s="37" t="s">
        <v>2933</v>
      </c>
      <c r="M89" s="37" t="s">
        <v>5974</v>
      </c>
    </row>
    <row r="90" spans="1:13" ht="90">
      <c r="A90" s="37">
        <v>91</v>
      </c>
      <c r="B90" s="231" t="s">
        <v>6065</v>
      </c>
      <c r="C90" s="37" t="s">
        <v>34</v>
      </c>
      <c r="D90" s="37" t="s">
        <v>17</v>
      </c>
      <c r="E90" s="37">
        <v>2</v>
      </c>
      <c r="F90" s="37" t="s">
        <v>2343</v>
      </c>
      <c r="G90" s="37" t="s">
        <v>6029</v>
      </c>
      <c r="H90" s="232">
        <v>100</v>
      </c>
      <c r="I90" s="37" t="s">
        <v>20</v>
      </c>
      <c r="J90" s="37" t="s">
        <v>415</v>
      </c>
      <c r="K90" s="229">
        <v>45383</v>
      </c>
      <c r="L90" s="37" t="s">
        <v>2933</v>
      </c>
      <c r="M90" s="37" t="s">
        <v>5974</v>
      </c>
    </row>
    <row r="91" spans="1:13" ht="90">
      <c r="A91" s="37">
        <v>92</v>
      </c>
      <c r="B91" s="231" t="s">
        <v>6066</v>
      </c>
      <c r="C91" s="37" t="s">
        <v>34</v>
      </c>
      <c r="D91" s="37" t="s">
        <v>17</v>
      </c>
      <c r="E91" s="37">
        <v>5</v>
      </c>
      <c r="F91" s="37" t="s">
        <v>756</v>
      </c>
      <c r="G91" s="37" t="s">
        <v>6029</v>
      </c>
      <c r="H91" s="232">
        <v>150</v>
      </c>
      <c r="I91" s="37" t="s">
        <v>20</v>
      </c>
      <c r="J91" s="37" t="s">
        <v>415</v>
      </c>
      <c r="K91" s="229">
        <v>45383</v>
      </c>
      <c r="L91" s="37" t="s">
        <v>2933</v>
      </c>
      <c r="M91" s="37" t="s">
        <v>5974</v>
      </c>
    </row>
    <row r="92" spans="1:13" ht="90">
      <c r="A92" s="37">
        <v>93</v>
      </c>
      <c r="B92" s="231" t="s">
        <v>6067</v>
      </c>
      <c r="C92" s="37" t="s">
        <v>34</v>
      </c>
      <c r="D92" s="37" t="s">
        <v>17</v>
      </c>
      <c r="E92" s="37">
        <v>5</v>
      </c>
      <c r="F92" s="37" t="s">
        <v>756</v>
      </c>
      <c r="G92" s="37" t="s">
        <v>6029</v>
      </c>
      <c r="H92" s="232">
        <v>200</v>
      </c>
      <c r="I92" s="37" t="s">
        <v>20</v>
      </c>
      <c r="J92" s="37" t="s">
        <v>415</v>
      </c>
      <c r="K92" s="229">
        <v>45383</v>
      </c>
      <c r="L92" s="37" t="s">
        <v>2933</v>
      </c>
      <c r="M92" s="37" t="s">
        <v>5974</v>
      </c>
    </row>
    <row r="93" spans="1:13" ht="90">
      <c r="A93" s="37">
        <v>94</v>
      </c>
      <c r="B93" s="231" t="s">
        <v>6068</v>
      </c>
      <c r="C93" s="37" t="s">
        <v>34</v>
      </c>
      <c r="D93" s="37" t="s">
        <v>17</v>
      </c>
      <c r="E93" s="37">
        <v>12</v>
      </c>
      <c r="F93" s="37" t="s">
        <v>2294</v>
      </c>
      <c r="G93" s="37" t="s">
        <v>575</v>
      </c>
      <c r="H93" s="232">
        <v>750</v>
      </c>
      <c r="I93" s="37" t="s">
        <v>20</v>
      </c>
      <c r="J93" s="37" t="s">
        <v>415</v>
      </c>
      <c r="K93" s="229">
        <v>45383</v>
      </c>
      <c r="L93" s="37" t="s">
        <v>2933</v>
      </c>
      <c r="M93" s="37" t="s">
        <v>5974</v>
      </c>
    </row>
    <row r="94" spans="1:13" ht="90">
      <c r="A94" s="37">
        <v>95</v>
      </c>
      <c r="B94" s="231" t="s">
        <v>6069</v>
      </c>
      <c r="C94" s="37" t="s">
        <v>34</v>
      </c>
      <c r="D94" s="37" t="s">
        <v>17</v>
      </c>
      <c r="E94" s="37">
        <v>200</v>
      </c>
      <c r="F94" s="37" t="s">
        <v>756</v>
      </c>
      <c r="G94" s="37" t="s">
        <v>6029</v>
      </c>
      <c r="H94" s="232">
        <v>600</v>
      </c>
      <c r="I94" s="37" t="s">
        <v>20</v>
      </c>
      <c r="J94" s="37" t="s">
        <v>415</v>
      </c>
      <c r="K94" s="229">
        <v>45383</v>
      </c>
      <c r="L94" s="37" t="s">
        <v>2933</v>
      </c>
      <c r="M94" s="37" t="s">
        <v>5974</v>
      </c>
    </row>
    <row r="95" spans="1:13" ht="90">
      <c r="A95" s="37">
        <v>96</v>
      </c>
      <c r="B95" s="231" t="s">
        <v>6070</v>
      </c>
      <c r="C95" s="37" t="s">
        <v>2134</v>
      </c>
      <c r="D95" s="37" t="s">
        <v>17</v>
      </c>
      <c r="E95" s="37">
        <v>12</v>
      </c>
      <c r="F95" s="37" t="s">
        <v>6002</v>
      </c>
      <c r="G95" s="37" t="s">
        <v>6071</v>
      </c>
      <c r="H95" s="232">
        <v>1000</v>
      </c>
      <c r="I95" s="37" t="s">
        <v>20</v>
      </c>
      <c r="J95" s="37" t="s">
        <v>415</v>
      </c>
      <c r="K95" s="229"/>
      <c r="L95" s="37" t="s">
        <v>2933</v>
      </c>
      <c r="M95" s="37" t="s">
        <v>5974</v>
      </c>
    </row>
    <row r="96" spans="1:13" ht="90">
      <c r="A96" s="37">
        <v>97</v>
      </c>
      <c r="B96" s="231" t="s">
        <v>6072</v>
      </c>
      <c r="C96" s="37" t="s">
        <v>2134</v>
      </c>
      <c r="D96" s="37" t="s">
        <v>17</v>
      </c>
      <c r="E96" s="37">
        <v>36</v>
      </c>
      <c r="F96" s="37" t="s">
        <v>6002</v>
      </c>
      <c r="G96" s="37" t="s">
        <v>6071</v>
      </c>
      <c r="H96" s="232">
        <v>10500</v>
      </c>
      <c r="I96" s="37" t="s">
        <v>20</v>
      </c>
      <c r="J96" s="37" t="s">
        <v>6000</v>
      </c>
      <c r="K96" s="229">
        <v>45352</v>
      </c>
      <c r="L96" s="37" t="s">
        <v>2933</v>
      </c>
      <c r="M96" s="37" t="s">
        <v>5974</v>
      </c>
    </row>
    <row r="97" spans="1:13" ht="90">
      <c r="A97" s="37">
        <v>98</v>
      </c>
      <c r="B97" s="231" t="s">
        <v>5726</v>
      </c>
      <c r="C97" s="37" t="s">
        <v>2134</v>
      </c>
      <c r="D97" s="37" t="s">
        <v>17</v>
      </c>
      <c r="E97" s="37">
        <v>24</v>
      </c>
      <c r="F97" s="37" t="s">
        <v>6002</v>
      </c>
      <c r="G97" s="37" t="s">
        <v>6073</v>
      </c>
      <c r="H97" s="232">
        <v>2000</v>
      </c>
      <c r="I97" s="37" t="s">
        <v>20</v>
      </c>
      <c r="J97" s="37" t="s">
        <v>415</v>
      </c>
      <c r="K97" s="229">
        <v>45323</v>
      </c>
      <c r="L97" s="37" t="s">
        <v>2933</v>
      </c>
      <c r="M97" s="37" t="s">
        <v>5974</v>
      </c>
    </row>
    <row r="98" spans="1:13" ht="90">
      <c r="A98" s="37">
        <v>99</v>
      </c>
      <c r="B98" s="231" t="s">
        <v>6074</v>
      </c>
      <c r="C98" s="37" t="s">
        <v>2134</v>
      </c>
      <c r="D98" s="37" t="s">
        <v>17</v>
      </c>
      <c r="E98" s="37">
        <v>12</v>
      </c>
      <c r="F98" s="37" t="s">
        <v>6002</v>
      </c>
      <c r="G98" s="37" t="s">
        <v>6075</v>
      </c>
      <c r="H98" s="232">
        <v>11000</v>
      </c>
      <c r="I98" s="37" t="s">
        <v>20</v>
      </c>
      <c r="J98" s="37" t="s">
        <v>415</v>
      </c>
      <c r="K98" s="229">
        <v>45383</v>
      </c>
      <c r="L98" s="37" t="s">
        <v>2933</v>
      </c>
      <c r="M98" s="37" t="s">
        <v>5974</v>
      </c>
    </row>
    <row r="99" spans="1:13" ht="90">
      <c r="A99" s="37">
        <v>100</v>
      </c>
      <c r="B99" s="231" t="s">
        <v>748</v>
      </c>
      <c r="C99" s="37" t="s">
        <v>2134</v>
      </c>
      <c r="D99" s="37" t="s">
        <v>17</v>
      </c>
      <c r="E99" s="37">
        <v>15000</v>
      </c>
      <c r="F99" s="37" t="s">
        <v>2387</v>
      </c>
      <c r="G99" s="37" t="s">
        <v>6076</v>
      </c>
      <c r="H99" s="232">
        <v>75000</v>
      </c>
      <c r="I99" s="37" t="s">
        <v>20</v>
      </c>
      <c r="J99" s="37" t="s">
        <v>415</v>
      </c>
      <c r="K99" s="229">
        <v>45383</v>
      </c>
      <c r="L99" s="37" t="s">
        <v>2933</v>
      </c>
      <c r="M99" s="37" t="s">
        <v>5974</v>
      </c>
    </row>
    <row r="100" spans="1:13" ht="90">
      <c r="A100" s="37">
        <v>101</v>
      </c>
      <c r="B100" s="3" t="s">
        <v>2075</v>
      </c>
      <c r="C100" s="37" t="s">
        <v>2134</v>
      </c>
      <c r="D100" s="37" t="s">
        <v>17</v>
      </c>
      <c r="E100" s="37">
        <v>1000</v>
      </c>
      <c r="F100" s="37" t="s">
        <v>2387</v>
      </c>
      <c r="G100" s="37" t="s">
        <v>6076</v>
      </c>
      <c r="H100" s="232">
        <v>4500</v>
      </c>
      <c r="I100" s="37" t="s">
        <v>20</v>
      </c>
      <c r="J100" s="37" t="s">
        <v>415</v>
      </c>
      <c r="K100" s="229">
        <v>45383</v>
      </c>
      <c r="L100" s="37" t="s">
        <v>2933</v>
      </c>
      <c r="M100" s="37" t="s">
        <v>5974</v>
      </c>
    </row>
    <row r="101" spans="1:13" ht="90">
      <c r="A101" s="37">
        <v>102</v>
      </c>
      <c r="B101" s="231" t="s">
        <v>6077</v>
      </c>
      <c r="C101" s="37" t="s">
        <v>34</v>
      </c>
      <c r="D101" s="37" t="s">
        <v>17</v>
      </c>
      <c r="E101" s="37">
        <v>1</v>
      </c>
      <c r="F101" s="37" t="s">
        <v>756</v>
      </c>
      <c r="G101" s="37" t="s">
        <v>6035</v>
      </c>
      <c r="H101" s="232">
        <v>150000</v>
      </c>
      <c r="I101" s="37" t="s">
        <v>20</v>
      </c>
      <c r="J101" s="37" t="s">
        <v>6000</v>
      </c>
      <c r="K101" s="229">
        <v>45352</v>
      </c>
      <c r="L101" s="37" t="s">
        <v>2933</v>
      </c>
      <c r="M101" s="37" t="s">
        <v>5974</v>
      </c>
    </row>
    <row r="102" spans="1:13" ht="90">
      <c r="A102" s="37">
        <v>103</v>
      </c>
      <c r="B102" s="231" t="s">
        <v>6078</v>
      </c>
      <c r="C102" s="37" t="s">
        <v>2134</v>
      </c>
      <c r="D102" s="37" t="s">
        <v>17</v>
      </c>
      <c r="E102" s="37">
        <v>12</v>
      </c>
      <c r="F102" s="37" t="s">
        <v>6002</v>
      </c>
      <c r="G102" s="37" t="s">
        <v>6029</v>
      </c>
      <c r="H102" s="232">
        <v>20000</v>
      </c>
      <c r="I102" s="37" t="s">
        <v>20</v>
      </c>
      <c r="J102" s="37" t="s">
        <v>415</v>
      </c>
      <c r="K102" s="229">
        <v>45383</v>
      </c>
      <c r="L102" s="37" t="s">
        <v>2933</v>
      </c>
      <c r="M102" s="37" t="s">
        <v>5974</v>
      </c>
    </row>
    <row r="103" spans="1:13" ht="90">
      <c r="A103" s="37">
        <v>104</v>
      </c>
      <c r="B103" s="231" t="s">
        <v>6079</v>
      </c>
      <c r="C103" s="37" t="s">
        <v>2134</v>
      </c>
      <c r="D103" s="37" t="s">
        <v>17</v>
      </c>
      <c r="E103" s="37">
        <v>12</v>
      </c>
      <c r="F103" s="37" t="s">
        <v>6002</v>
      </c>
      <c r="G103" s="37" t="s">
        <v>6080</v>
      </c>
      <c r="H103" s="232">
        <v>34200</v>
      </c>
      <c r="I103" s="37" t="s">
        <v>20</v>
      </c>
      <c r="J103" s="37" t="s">
        <v>415</v>
      </c>
      <c r="K103" s="229">
        <v>45597</v>
      </c>
      <c r="L103" s="37" t="s">
        <v>2933</v>
      </c>
      <c r="M103" s="37" t="s">
        <v>5974</v>
      </c>
    </row>
    <row r="104" spans="1:13" ht="90">
      <c r="A104" s="37">
        <v>105</v>
      </c>
      <c r="B104" s="231" t="s">
        <v>6081</v>
      </c>
      <c r="C104" s="37" t="s">
        <v>2134</v>
      </c>
      <c r="D104" s="37" t="s">
        <v>17</v>
      </c>
      <c r="E104" s="37">
        <v>3</v>
      </c>
      <c r="F104" s="37" t="s">
        <v>756</v>
      </c>
      <c r="G104" s="37"/>
      <c r="H104" s="232">
        <v>3000</v>
      </c>
      <c r="I104" s="37" t="s">
        <v>20</v>
      </c>
      <c r="J104" s="37" t="s">
        <v>6000</v>
      </c>
      <c r="K104" s="229">
        <v>45383</v>
      </c>
      <c r="L104" s="37" t="s">
        <v>2933</v>
      </c>
      <c r="M104" s="37" t="s">
        <v>5974</v>
      </c>
    </row>
    <row r="105" spans="1:13" ht="90">
      <c r="A105" s="37">
        <v>106</v>
      </c>
      <c r="B105" s="231" t="s">
        <v>6082</v>
      </c>
      <c r="C105" s="37" t="s">
        <v>2134</v>
      </c>
      <c r="D105" s="37" t="s">
        <v>17</v>
      </c>
      <c r="E105" s="37">
        <v>6</v>
      </c>
      <c r="F105" s="37" t="s">
        <v>756</v>
      </c>
      <c r="G105" s="37"/>
      <c r="H105" s="232">
        <v>1500</v>
      </c>
      <c r="I105" s="37" t="s">
        <v>20</v>
      </c>
      <c r="J105" s="37" t="s">
        <v>6000</v>
      </c>
      <c r="K105" s="229">
        <v>45383</v>
      </c>
      <c r="L105" s="37" t="s">
        <v>2933</v>
      </c>
      <c r="M105" s="37" t="s">
        <v>5974</v>
      </c>
    </row>
    <row r="106" spans="1:13" ht="90">
      <c r="A106" s="37">
        <v>107</v>
      </c>
      <c r="B106" s="231" t="s">
        <v>6083</v>
      </c>
      <c r="C106" s="37" t="s">
        <v>2134</v>
      </c>
      <c r="D106" s="37" t="s">
        <v>17</v>
      </c>
      <c r="E106" s="37">
        <v>12</v>
      </c>
      <c r="F106" s="37" t="s">
        <v>6002</v>
      </c>
      <c r="G106" s="37" t="s">
        <v>6084</v>
      </c>
      <c r="H106" s="232">
        <v>1200</v>
      </c>
      <c r="I106" s="37" t="s">
        <v>20</v>
      </c>
      <c r="J106" s="37" t="s">
        <v>415</v>
      </c>
      <c r="K106" s="229"/>
      <c r="L106" s="37" t="s">
        <v>2933</v>
      </c>
      <c r="M106" s="37" t="s">
        <v>5974</v>
      </c>
    </row>
    <row r="107" spans="1:13" ht="90">
      <c r="A107" s="37">
        <v>108</v>
      </c>
      <c r="B107" s="231" t="s">
        <v>6085</v>
      </c>
      <c r="C107" s="37" t="s">
        <v>2134</v>
      </c>
      <c r="D107" s="37" t="s">
        <v>17</v>
      </c>
      <c r="E107" s="37">
        <v>12</v>
      </c>
      <c r="F107" s="37" t="s">
        <v>6002</v>
      </c>
      <c r="G107" s="37" t="s">
        <v>6084</v>
      </c>
      <c r="H107" s="232">
        <v>4200</v>
      </c>
      <c r="I107" s="37" t="s">
        <v>20</v>
      </c>
      <c r="J107" s="37" t="s">
        <v>415</v>
      </c>
      <c r="K107" s="229"/>
      <c r="L107" s="37" t="s">
        <v>2933</v>
      </c>
      <c r="M107" s="37" t="s">
        <v>5974</v>
      </c>
    </row>
    <row r="108" spans="1:13" ht="90">
      <c r="A108" s="37">
        <v>109</v>
      </c>
      <c r="B108" s="231" t="s">
        <v>3328</v>
      </c>
      <c r="C108" s="37" t="s">
        <v>2134</v>
      </c>
      <c r="D108" s="37" t="s">
        <v>17</v>
      </c>
      <c r="E108" s="37">
        <v>12</v>
      </c>
      <c r="F108" s="37" t="s">
        <v>6002</v>
      </c>
      <c r="G108" s="37" t="s">
        <v>6086</v>
      </c>
      <c r="H108" s="232">
        <v>50000</v>
      </c>
      <c r="I108" s="37" t="s">
        <v>20</v>
      </c>
      <c r="J108" s="37" t="s">
        <v>415</v>
      </c>
      <c r="K108" s="229">
        <v>45323</v>
      </c>
      <c r="L108" s="37" t="s">
        <v>2933</v>
      </c>
      <c r="M108" s="37" t="s">
        <v>5974</v>
      </c>
    </row>
    <row r="109" spans="1:13" ht="90">
      <c r="A109" s="37">
        <v>110</v>
      </c>
      <c r="B109" s="231" t="s">
        <v>6087</v>
      </c>
      <c r="C109" s="37" t="s">
        <v>2134</v>
      </c>
      <c r="D109" s="37" t="s">
        <v>17</v>
      </c>
      <c r="E109" s="37">
        <v>12</v>
      </c>
      <c r="F109" s="37" t="s">
        <v>6002</v>
      </c>
      <c r="G109" s="37" t="s">
        <v>6088</v>
      </c>
      <c r="H109" s="232">
        <v>90000</v>
      </c>
      <c r="I109" s="37" t="s">
        <v>20</v>
      </c>
      <c r="J109" s="37" t="s">
        <v>415</v>
      </c>
      <c r="K109" s="229">
        <v>45323</v>
      </c>
      <c r="L109" s="37" t="s">
        <v>2933</v>
      </c>
      <c r="M109" s="37" t="s">
        <v>5974</v>
      </c>
    </row>
    <row r="110" spans="1:13" ht="90">
      <c r="A110" s="37">
        <v>111</v>
      </c>
      <c r="B110" s="231" t="s">
        <v>1327</v>
      </c>
      <c r="C110" s="37" t="s">
        <v>34</v>
      </c>
      <c r="D110" s="37" t="s">
        <v>17</v>
      </c>
      <c r="E110" s="37">
        <v>3000</v>
      </c>
      <c r="F110" s="37" t="s">
        <v>2740</v>
      </c>
      <c r="G110" s="37" t="s">
        <v>6089</v>
      </c>
      <c r="H110" s="232">
        <v>4500</v>
      </c>
      <c r="I110" s="37" t="s">
        <v>20</v>
      </c>
      <c r="J110" s="37" t="s">
        <v>415</v>
      </c>
      <c r="K110" s="229">
        <v>45474</v>
      </c>
      <c r="L110" s="37" t="s">
        <v>2933</v>
      </c>
      <c r="M110" s="37" t="s">
        <v>5974</v>
      </c>
    </row>
    <row r="111" spans="1:13" ht="90">
      <c r="A111" s="37">
        <v>112</v>
      </c>
      <c r="B111" s="231" t="s">
        <v>2726</v>
      </c>
      <c r="C111" s="37" t="s">
        <v>34</v>
      </c>
      <c r="D111" s="37" t="s">
        <v>17</v>
      </c>
      <c r="E111" s="37">
        <v>48</v>
      </c>
      <c r="F111" s="37" t="s">
        <v>756</v>
      </c>
      <c r="G111" s="37" t="s">
        <v>575</v>
      </c>
      <c r="H111" s="232">
        <v>52</v>
      </c>
      <c r="I111" s="37" t="s">
        <v>20</v>
      </c>
      <c r="J111" s="37" t="s">
        <v>415</v>
      </c>
      <c r="K111" s="229">
        <v>45474</v>
      </c>
      <c r="L111" s="37" t="s">
        <v>2933</v>
      </c>
      <c r="M111" s="37" t="s">
        <v>5974</v>
      </c>
    </row>
    <row r="112" spans="1:13" ht="90">
      <c r="A112" s="37">
        <v>113</v>
      </c>
      <c r="B112" s="231" t="s">
        <v>6090</v>
      </c>
      <c r="C112" s="37" t="s">
        <v>34</v>
      </c>
      <c r="D112" s="37" t="s">
        <v>17</v>
      </c>
      <c r="E112" s="37">
        <v>15</v>
      </c>
      <c r="F112" s="37" t="s">
        <v>2659</v>
      </c>
      <c r="G112" s="37" t="s">
        <v>575</v>
      </c>
      <c r="H112" s="232">
        <v>450</v>
      </c>
      <c r="I112" s="37" t="s">
        <v>20</v>
      </c>
      <c r="J112" s="37" t="s">
        <v>415</v>
      </c>
      <c r="K112" s="229">
        <v>45474</v>
      </c>
      <c r="L112" s="37" t="s">
        <v>2933</v>
      </c>
      <c r="M112" s="37" t="s">
        <v>5974</v>
      </c>
    </row>
    <row r="113" spans="1:13" ht="90">
      <c r="A113" s="37">
        <v>114</v>
      </c>
      <c r="B113" s="231" t="s">
        <v>6091</v>
      </c>
      <c r="C113" s="37" t="s">
        <v>34</v>
      </c>
      <c r="D113" s="37" t="s">
        <v>17</v>
      </c>
      <c r="E113" s="37">
        <v>10</v>
      </c>
      <c r="F113" s="37" t="s">
        <v>2659</v>
      </c>
      <c r="G113" s="37" t="s">
        <v>575</v>
      </c>
      <c r="H113" s="232">
        <v>300</v>
      </c>
      <c r="I113" s="37" t="s">
        <v>20</v>
      </c>
      <c r="J113" s="37" t="s">
        <v>415</v>
      </c>
      <c r="K113" s="229">
        <v>45474</v>
      </c>
      <c r="L113" s="37" t="s">
        <v>2933</v>
      </c>
      <c r="M113" s="37" t="s">
        <v>5974</v>
      </c>
    </row>
    <row r="114" spans="1:13" ht="90">
      <c r="A114" s="37">
        <v>115</v>
      </c>
      <c r="B114" s="231" t="s">
        <v>1331</v>
      </c>
      <c r="C114" s="37" t="s">
        <v>34</v>
      </c>
      <c r="D114" s="37" t="s">
        <v>17</v>
      </c>
      <c r="E114" s="37">
        <v>200</v>
      </c>
      <c r="F114" s="37" t="s">
        <v>756</v>
      </c>
      <c r="G114" s="37" t="s">
        <v>575</v>
      </c>
      <c r="H114" s="232">
        <v>225</v>
      </c>
      <c r="I114" s="37" t="s">
        <v>20</v>
      </c>
      <c r="J114" s="37" t="s">
        <v>415</v>
      </c>
      <c r="K114" s="229">
        <v>45474</v>
      </c>
      <c r="L114" s="37" t="s">
        <v>2933</v>
      </c>
      <c r="M114" s="37" t="s">
        <v>5974</v>
      </c>
    </row>
    <row r="115" spans="1:13" ht="90">
      <c r="A115" s="37">
        <v>116</v>
      </c>
      <c r="B115" s="231" t="s">
        <v>6092</v>
      </c>
      <c r="C115" s="37" t="s">
        <v>34</v>
      </c>
      <c r="D115" s="37" t="s">
        <v>17</v>
      </c>
      <c r="E115" s="37">
        <v>25</v>
      </c>
      <c r="F115" s="37" t="s">
        <v>560</v>
      </c>
      <c r="G115" s="37" t="s">
        <v>575</v>
      </c>
      <c r="H115" s="232">
        <v>150</v>
      </c>
      <c r="I115" s="37" t="s">
        <v>20</v>
      </c>
      <c r="J115" s="37" t="s">
        <v>415</v>
      </c>
      <c r="K115" s="229">
        <v>45474</v>
      </c>
      <c r="L115" s="37" t="s">
        <v>2933</v>
      </c>
      <c r="M115" s="37" t="s">
        <v>5974</v>
      </c>
    </row>
    <row r="116" spans="1:13" ht="90">
      <c r="A116" s="37">
        <v>117</v>
      </c>
      <c r="B116" s="231" t="s">
        <v>6093</v>
      </c>
      <c r="C116" s="37" t="s">
        <v>34</v>
      </c>
      <c r="D116" s="37" t="s">
        <v>17</v>
      </c>
      <c r="E116" s="37">
        <v>6</v>
      </c>
      <c r="F116" s="37" t="s">
        <v>756</v>
      </c>
      <c r="G116" s="37" t="s">
        <v>6089</v>
      </c>
      <c r="H116" s="232">
        <v>300</v>
      </c>
      <c r="I116" s="37" t="s">
        <v>20</v>
      </c>
      <c r="J116" s="37" t="s">
        <v>415</v>
      </c>
      <c r="K116" s="229">
        <v>45474</v>
      </c>
      <c r="L116" s="37" t="s">
        <v>2933</v>
      </c>
      <c r="M116" s="37" t="s">
        <v>5974</v>
      </c>
    </row>
    <row r="117" spans="1:13" ht="90">
      <c r="A117" s="37">
        <v>118</v>
      </c>
      <c r="B117" s="231" t="s">
        <v>6094</v>
      </c>
      <c r="C117" s="37" t="s">
        <v>34</v>
      </c>
      <c r="D117" s="37" t="s">
        <v>17</v>
      </c>
      <c r="E117" s="37">
        <v>10</v>
      </c>
      <c r="F117" s="37" t="s">
        <v>2337</v>
      </c>
      <c r="G117" s="37" t="s">
        <v>6029</v>
      </c>
      <c r="H117" s="232">
        <v>200</v>
      </c>
      <c r="I117" s="37" t="s">
        <v>20</v>
      </c>
      <c r="J117" s="37" t="s">
        <v>415</v>
      </c>
      <c r="K117" s="229">
        <v>45474</v>
      </c>
      <c r="L117" s="37" t="s">
        <v>2933</v>
      </c>
      <c r="M117" s="37" t="s">
        <v>5974</v>
      </c>
    </row>
    <row r="118" spans="1:13" ht="90">
      <c r="A118" s="37">
        <v>119</v>
      </c>
      <c r="B118" s="231" t="s">
        <v>6095</v>
      </c>
      <c r="C118" s="37" t="s">
        <v>34</v>
      </c>
      <c r="D118" s="37" t="s">
        <v>17</v>
      </c>
      <c r="E118" s="37">
        <v>6</v>
      </c>
      <c r="F118" s="37" t="s">
        <v>2659</v>
      </c>
      <c r="G118" s="37" t="s">
        <v>575</v>
      </c>
      <c r="H118" s="232">
        <v>150</v>
      </c>
      <c r="I118" s="37" t="s">
        <v>20</v>
      </c>
      <c r="J118" s="37" t="s">
        <v>415</v>
      </c>
      <c r="K118" s="229">
        <v>45474</v>
      </c>
      <c r="L118" s="37" t="s">
        <v>2933</v>
      </c>
      <c r="M118" s="37" t="s">
        <v>5974</v>
      </c>
    </row>
    <row r="119" spans="1:13" ht="90">
      <c r="A119" s="37">
        <v>120</v>
      </c>
      <c r="B119" s="231" t="s">
        <v>6096</v>
      </c>
      <c r="C119" s="37" t="s">
        <v>34</v>
      </c>
      <c r="D119" s="37" t="s">
        <v>17</v>
      </c>
      <c r="E119" s="37">
        <v>1000</v>
      </c>
      <c r="F119" s="37" t="s">
        <v>756</v>
      </c>
      <c r="G119" s="37"/>
      <c r="H119" s="232">
        <v>60</v>
      </c>
      <c r="I119" s="37" t="s">
        <v>20</v>
      </c>
      <c r="J119" s="37" t="s">
        <v>6000</v>
      </c>
      <c r="K119" s="229">
        <v>45383</v>
      </c>
      <c r="L119" s="37" t="s">
        <v>2933</v>
      </c>
      <c r="M119" s="37" t="s">
        <v>5974</v>
      </c>
    </row>
    <row r="120" spans="1:13" ht="90">
      <c r="A120" s="37">
        <v>121</v>
      </c>
      <c r="B120" s="231" t="s">
        <v>6097</v>
      </c>
      <c r="C120" s="37" t="s">
        <v>34</v>
      </c>
      <c r="D120" s="37" t="s">
        <v>17</v>
      </c>
      <c r="E120" s="37">
        <v>1000</v>
      </c>
      <c r="F120" s="37" t="s">
        <v>756</v>
      </c>
      <c r="G120" s="37" t="s">
        <v>6098</v>
      </c>
      <c r="H120" s="232">
        <v>1000000</v>
      </c>
      <c r="I120" s="37" t="s">
        <v>20</v>
      </c>
      <c r="J120" s="37" t="s">
        <v>6000</v>
      </c>
      <c r="K120" s="229">
        <v>45323</v>
      </c>
      <c r="L120" s="37" t="s">
        <v>2933</v>
      </c>
      <c r="M120" s="37" t="s">
        <v>5974</v>
      </c>
    </row>
    <row r="121" spans="1:13" ht="90">
      <c r="A121" s="37">
        <v>122</v>
      </c>
      <c r="B121" s="231" t="s">
        <v>6099</v>
      </c>
      <c r="C121" s="37" t="s">
        <v>34</v>
      </c>
      <c r="D121" s="37" t="s">
        <v>17</v>
      </c>
      <c r="E121" s="37">
        <v>1</v>
      </c>
      <c r="F121" s="37" t="s">
        <v>6100</v>
      </c>
      <c r="G121" s="37" t="s">
        <v>6101</v>
      </c>
      <c r="H121" s="232">
        <v>30000</v>
      </c>
      <c r="I121" s="37" t="s">
        <v>20</v>
      </c>
      <c r="J121" s="37" t="s">
        <v>415</v>
      </c>
      <c r="K121" s="229">
        <v>45323</v>
      </c>
      <c r="L121" s="37" t="s">
        <v>2933</v>
      </c>
      <c r="M121" s="37" t="s">
        <v>5974</v>
      </c>
    </row>
    <row r="122" spans="1:13" ht="90">
      <c r="A122" s="37">
        <v>123</v>
      </c>
      <c r="B122" s="231" t="s">
        <v>2383</v>
      </c>
      <c r="C122" s="37" t="s">
        <v>34</v>
      </c>
      <c r="D122" s="37" t="s">
        <v>17</v>
      </c>
      <c r="E122" s="37">
        <v>20</v>
      </c>
      <c r="F122" s="37" t="s">
        <v>756</v>
      </c>
      <c r="G122" s="37" t="s">
        <v>575</v>
      </c>
      <c r="H122" s="228">
        <v>80</v>
      </c>
      <c r="I122" s="37" t="s">
        <v>20</v>
      </c>
      <c r="J122" s="37" t="s">
        <v>415</v>
      </c>
      <c r="K122" s="229">
        <v>45383</v>
      </c>
      <c r="L122" s="37" t="s">
        <v>2933</v>
      </c>
      <c r="M122" s="37" t="s">
        <v>5974</v>
      </c>
    </row>
    <row r="123" spans="1:13" ht="90">
      <c r="A123" s="37">
        <v>124</v>
      </c>
      <c r="B123" s="231" t="s">
        <v>2458</v>
      </c>
      <c r="C123" s="37" t="s">
        <v>34</v>
      </c>
      <c r="D123" s="37" t="s">
        <v>17</v>
      </c>
      <c r="E123" s="37">
        <v>6</v>
      </c>
      <c r="F123" s="37" t="s">
        <v>756</v>
      </c>
      <c r="G123" s="37" t="s">
        <v>575</v>
      </c>
      <c r="H123" s="232">
        <v>54</v>
      </c>
      <c r="I123" s="37" t="s">
        <v>20</v>
      </c>
      <c r="J123" s="37" t="s">
        <v>415</v>
      </c>
      <c r="K123" s="229">
        <v>45383</v>
      </c>
      <c r="L123" s="37" t="s">
        <v>2933</v>
      </c>
      <c r="M123" s="37" t="s">
        <v>5974</v>
      </c>
    </row>
    <row r="124" spans="1:13" ht="90">
      <c r="A124" s="37">
        <v>125</v>
      </c>
      <c r="B124" s="231" t="s">
        <v>6102</v>
      </c>
      <c r="C124" s="37" t="s">
        <v>34</v>
      </c>
      <c r="D124" s="37" t="s">
        <v>17</v>
      </c>
      <c r="E124" s="37">
        <v>12</v>
      </c>
      <c r="F124" s="37" t="s">
        <v>756</v>
      </c>
      <c r="G124" s="37" t="s">
        <v>575</v>
      </c>
      <c r="H124" s="232">
        <v>120</v>
      </c>
      <c r="I124" s="37" t="s">
        <v>20</v>
      </c>
      <c r="J124" s="37" t="s">
        <v>415</v>
      </c>
      <c r="K124" s="229">
        <v>45383</v>
      </c>
      <c r="L124" s="37" t="s">
        <v>2933</v>
      </c>
      <c r="M124" s="37" t="s">
        <v>5974</v>
      </c>
    </row>
    <row r="125" spans="1:13" ht="90">
      <c r="A125" s="37">
        <v>126</v>
      </c>
      <c r="B125" s="231" t="s">
        <v>6103</v>
      </c>
      <c r="C125" s="37" t="s">
        <v>34</v>
      </c>
      <c r="D125" s="37" t="s">
        <v>17</v>
      </c>
      <c r="E125" s="37">
        <v>12</v>
      </c>
      <c r="F125" s="37" t="s">
        <v>756</v>
      </c>
      <c r="G125" s="37" t="s">
        <v>575</v>
      </c>
      <c r="H125" s="232">
        <v>120</v>
      </c>
      <c r="I125" s="37" t="s">
        <v>20</v>
      </c>
      <c r="J125" s="37" t="s">
        <v>415</v>
      </c>
      <c r="K125" s="229">
        <v>45383</v>
      </c>
      <c r="L125" s="37" t="s">
        <v>2933</v>
      </c>
      <c r="M125" s="37" t="s">
        <v>5974</v>
      </c>
    </row>
    <row r="126" spans="1:13" ht="90">
      <c r="A126" s="37">
        <v>127</v>
      </c>
      <c r="B126" s="231" t="s">
        <v>6104</v>
      </c>
      <c r="C126" s="37" t="s">
        <v>34</v>
      </c>
      <c r="D126" s="37" t="s">
        <v>17</v>
      </c>
      <c r="E126" s="37">
        <v>2</v>
      </c>
      <c r="F126" s="37" t="s">
        <v>756</v>
      </c>
      <c r="G126" s="37" t="s">
        <v>575</v>
      </c>
      <c r="H126" s="232">
        <v>60</v>
      </c>
      <c r="I126" s="37" t="s">
        <v>20</v>
      </c>
      <c r="J126" s="37" t="s">
        <v>415</v>
      </c>
      <c r="K126" s="229">
        <v>45383</v>
      </c>
      <c r="L126" s="37" t="s">
        <v>2933</v>
      </c>
      <c r="M126" s="37" t="s">
        <v>5974</v>
      </c>
    </row>
    <row r="127" spans="1:13" ht="90">
      <c r="A127" s="37">
        <v>128</v>
      </c>
      <c r="B127" s="231" t="s">
        <v>6105</v>
      </c>
      <c r="C127" s="37" t="s">
        <v>34</v>
      </c>
      <c r="D127" s="37" t="s">
        <v>17</v>
      </c>
      <c r="E127" s="37">
        <v>4</v>
      </c>
      <c r="F127" s="37" t="s">
        <v>756</v>
      </c>
      <c r="G127" s="37" t="s">
        <v>575</v>
      </c>
      <c r="H127" s="232">
        <v>40</v>
      </c>
      <c r="I127" s="37" t="s">
        <v>20</v>
      </c>
      <c r="J127" s="37" t="s">
        <v>415</v>
      </c>
      <c r="K127" s="229">
        <v>45383</v>
      </c>
      <c r="L127" s="37" t="s">
        <v>2933</v>
      </c>
      <c r="M127" s="37" t="s">
        <v>5974</v>
      </c>
    </row>
    <row r="128" spans="1:13" ht="90">
      <c r="A128" s="37">
        <v>129</v>
      </c>
      <c r="B128" s="231" t="s">
        <v>5674</v>
      </c>
      <c r="C128" s="37" t="s">
        <v>34</v>
      </c>
      <c r="D128" s="37" t="s">
        <v>17</v>
      </c>
      <c r="E128" s="37">
        <v>30</v>
      </c>
      <c r="F128" s="37" t="s">
        <v>756</v>
      </c>
      <c r="G128" s="37" t="s">
        <v>575</v>
      </c>
      <c r="H128" s="228">
        <v>100</v>
      </c>
      <c r="I128" s="37" t="s">
        <v>20</v>
      </c>
      <c r="J128" s="37" t="s">
        <v>415</v>
      </c>
      <c r="K128" s="229">
        <v>45383</v>
      </c>
      <c r="L128" s="37" t="s">
        <v>2933</v>
      </c>
      <c r="M128" s="37" t="s">
        <v>5974</v>
      </c>
    </row>
    <row r="129" spans="1:13" ht="90">
      <c r="A129" s="37">
        <v>130</v>
      </c>
      <c r="B129" s="231" t="s">
        <v>6106</v>
      </c>
      <c r="C129" s="37" t="s">
        <v>34</v>
      </c>
      <c r="D129" s="37" t="s">
        <v>17</v>
      </c>
      <c r="E129" s="37">
        <v>8</v>
      </c>
      <c r="F129" s="37" t="s">
        <v>756</v>
      </c>
      <c r="G129" s="37" t="s">
        <v>575</v>
      </c>
      <c r="H129" s="228">
        <v>40</v>
      </c>
      <c r="I129" s="37" t="s">
        <v>20</v>
      </c>
      <c r="J129" s="37" t="s">
        <v>415</v>
      </c>
      <c r="K129" s="229">
        <v>45383</v>
      </c>
      <c r="L129" s="37" t="s">
        <v>2933</v>
      </c>
      <c r="M129" s="37" t="s">
        <v>5974</v>
      </c>
    </row>
  </sheetData>
  <pageMargins left="0.511811024" right="0.511811024" top="0.78740157499999996" bottom="0.78740157499999996" header="0.31496062000000002" footer="0.3149606200000000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4159F-875A-48CB-8E9B-9341132545D4}">
  <dimension ref="A1:M69"/>
  <sheetViews>
    <sheetView workbookViewId="0">
      <selection activeCell="B7" sqref="B7"/>
    </sheetView>
  </sheetViews>
  <sheetFormatPr defaultRowHeight="15"/>
  <cols>
    <col min="1" max="1" width="15.7109375" bestFit="1" customWidth="1"/>
    <col min="2" max="2" width="33.85546875" bestFit="1" customWidth="1"/>
    <col min="4" max="4" width="12" bestFit="1" customWidth="1"/>
    <col min="7" max="7" width="27.7109375" bestFit="1" customWidth="1"/>
    <col min="8" max="8" width="19.28515625" bestFit="1" customWidth="1"/>
    <col min="11" max="11" width="34.5703125" bestFit="1" customWidth="1"/>
    <col min="13" max="13" width="30.7109375" bestFit="1" customWidth="1"/>
  </cols>
  <sheetData>
    <row r="1" spans="1:13">
      <c r="A1" s="233" t="s">
        <v>0</v>
      </c>
      <c r="B1" s="233" t="s">
        <v>409</v>
      </c>
      <c r="C1" s="233" t="s">
        <v>410</v>
      </c>
      <c r="D1" s="233" t="s">
        <v>1</v>
      </c>
      <c r="E1" s="233" t="s">
        <v>582</v>
      </c>
      <c r="F1" s="233" t="s">
        <v>8</v>
      </c>
      <c r="G1" s="233" t="s">
        <v>412</v>
      </c>
      <c r="H1" s="233" t="s">
        <v>3</v>
      </c>
      <c r="I1" s="233" t="s">
        <v>4</v>
      </c>
      <c r="J1" s="233" t="s">
        <v>5</v>
      </c>
      <c r="K1" s="233" t="s">
        <v>413</v>
      </c>
      <c r="L1" s="233" t="s">
        <v>7</v>
      </c>
      <c r="M1" s="233" t="s">
        <v>12</v>
      </c>
    </row>
    <row r="2" spans="1:13" ht="15.75">
      <c r="A2" s="47">
        <v>1</v>
      </c>
      <c r="B2" s="240" t="s">
        <v>6107</v>
      </c>
      <c r="C2" s="47" t="s">
        <v>34</v>
      </c>
      <c r="D2" s="47" t="s">
        <v>168</v>
      </c>
      <c r="E2" s="47">
        <v>3</v>
      </c>
      <c r="F2" s="47" t="s">
        <v>756</v>
      </c>
      <c r="G2" s="47" t="s">
        <v>227</v>
      </c>
      <c r="H2" s="234" t="s">
        <v>6108</v>
      </c>
      <c r="I2" s="47" t="s">
        <v>20</v>
      </c>
      <c r="J2" s="47" t="s">
        <v>2120</v>
      </c>
      <c r="K2" s="235">
        <v>45323</v>
      </c>
      <c r="L2" s="236" t="s">
        <v>20</v>
      </c>
      <c r="M2" s="47" t="s">
        <v>6109</v>
      </c>
    </row>
    <row r="3" spans="1:13" ht="15.75">
      <c r="A3" s="47">
        <v>2</v>
      </c>
      <c r="B3" s="240" t="s">
        <v>6110</v>
      </c>
      <c r="C3" s="47" t="s">
        <v>25</v>
      </c>
      <c r="D3" s="47" t="s">
        <v>17</v>
      </c>
      <c r="E3" s="237">
        <v>1</v>
      </c>
      <c r="F3" s="47" t="s">
        <v>2423</v>
      </c>
      <c r="G3" s="47" t="s">
        <v>2074</v>
      </c>
      <c r="H3" s="234">
        <v>100000</v>
      </c>
      <c r="I3" s="47" t="s">
        <v>38</v>
      </c>
      <c r="J3" s="47" t="s">
        <v>415</v>
      </c>
      <c r="K3" s="235">
        <v>45323</v>
      </c>
      <c r="L3" s="236" t="s">
        <v>6111</v>
      </c>
      <c r="M3" s="47" t="s">
        <v>6109</v>
      </c>
    </row>
    <row r="4" spans="1:13" ht="15.75">
      <c r="A4" s="47">
        <v>3</v>
      </c>
      <c r="B4" s="240" t="s">
        <v>6112</v>
      </c>
      <c r="C4" s="47" t="s">
        <v>34</v>
      </c>
      <c r="D4" s="47" t="s">
        <v>168</v>
      </c>
      <c r="E4" s="47">
        <v>3</v>
      </c>
      <c r="F4" s="47" t="s">
        <v>756</v>
      </c>
      <c r="G4" s="47" t="s">
        <v>6113</v>
      </c>
      <c r="H4" s="238">
        <v>3800</v>
      </c>
      <c r="I4" s="47" t="s">
        <v>20</v>
      </c>
      <c r="J4" s="47" t="s">
        <v>6114</v>
      </c>
      <c r="K4" s="235">
        <v>45323</v>
      </c>
      <c r="L4" s="236" t="s">
        <v>20</v>
      </c>
      <c r="M4" s="47" t="s">
        <v>6109</v>
      </c>
    </row>
    <row r="5" spans="1:13" ht="15.75">
      <c r="A5" s="47">
        <v>4</v>
      </c>
      <c r="B5" s="240" t="s">
        <v>6115</v>
      </c>
      <c r="C5" s="47" t="s">
        <v>34</v>
      </c>
      <c r="D5" s="47" t="s">
        <v>168</v>
      </c>
      <c r="E5" s="47">
        <v>3</v>
      </c>
      <c r="F5" s="47" t="s">
        <v>756</v>
      </c>
      <c r="G5" s="47" t="s">
        <v>6113</v>
      </c>
      <c r="H5" s="238">
        <v>2800</v>
      </c>
      <c r="I5" s="47" t="s">
        <v>20</v>
      </c>
      <c r="J5" s="47" t="s">
        <v>6114</v>
      </c>
      <c r="K5" s="235">
        <v>45323</v>
      </c>
      <c r="L5" s="236" t="s">
        <v>20</v>
      </c>
      <c r="M5" s="47" t="s">
        <v>6109</v>
      </c>
    </row>
    <row r="6" spans="1:13" ht="15.75">
      <c r="A6" s="47">
        <v>5</v>
      </c>
      <c r="B6" s="240" t="s">
        <v>6116</v>
      </c>
      <c r="C6" s="47" t="s">
        <v>34</v>
      </c>
      <c r="D6" s="47" t="s">
        <v>168</v>
      </c>
      <c r="E6" s="47">
        <v>2</v>
      </c>
      <c r="F6" s="47" t="s">
        <v>756</v>
      </c>
      <c r="G6" s="47" t="s">
        <v>6117</v>
      </c>
      <c r="H6" s="238">
        <v>1500</v>
      </c>
      <c r="I6" s="47" t="s">
        <v>20</v>
      </c>
      <c r="J6" s="47" t="s">
        <v>6114</v>
      </c>
      <c r="K6" s="235">
        <v>45323</v>
      </c>
      <c r="L6" s="236" t="s">
        <v>20</v>
      </c>
      <c r="M6" s="47" t="s">
        <v>6109</v>
      </c>
    </row>
    <row r="7" spans="1:13" ht="15.75">
      <c r="A7" s="47">
        <v>6</v>
      </c>
      <c r="B7" s="240" t="s">
        <v>6118</v>
      </c>
      <c r="C7" s="47" t="s">
        <v>34</v>
      </c>
      <c r="D7" s="47" t="s">
        <v>168</v>
      </c>
      <c r="E7" s="47">
        <v>4</v>
      </c>
      <c r="F7" s="47" t="s">
        <v>756</v>
      </c>
      <c r="G7" s="47" t="s">
        <v>227</v>
      </c>
      <c r="H7" s="238">
        <v>100</v>
      </c>
      <c r="I7" s="47" t="s">
        <v>20</v>
      </c>
      <c r="J7" s="47" t="s">
        <v>2120</v>
      </c>
      <c r="K7" s="235">
        <v>45323</v>
      </c>
      <c r="L7" s="236" t="s">
        <v>20</v>
      </c>
      <c r="M7" s="47" t="s">
        <v>6109</v>
      </c>
    </row>
    <row r="8" spans="1:13" ht="15.75">
      <c r="A8" s="47">
        <v>7</v>
      </c>
      <c r="B8" s="240" t="s">
        <v>6119</v>
      </c>
      <c r="C8" s="47" t="s">
        <v>34</v>
      </c>
      <c r="D8" s="47" t="s">
        <v>168</v>
      </c>
      <c r="E8" s="47">
        <v>3</v>
      </c>
      <c r="F8" s="47" t="s">
        <v>756</v>
      </c>
      <c r="G8" s="47" t="s">
        <v>227</v>
      </c>
      <c r="H8" s="238">
        <v>29070</v>
      </c>
      <c r="I8" s="47" t="s">
        <v>38</v>
      </c>
      <c r="J8" s="47" t="s">
        <v>2120</v>
      </c>
      <c r="K8" s="235">
        <v>45323</v>
      </c>
      <c r="L8" s="236" t="s">
        <v>6120</v>
      </c>
      <c r="M8" s="47" t="s">
        <v>6109</v>
      </c>
    </row>
    <row r="9" spans="1:13" ht="15.75">
      <c r="A9" s="47">
        <v>8</v>
      </c>
      <c r="B9" s="240" t="s">
        <v>6121</v>
      </c>
      <c r="C9" s="47" t="s">
        <v>25</v>
      </c>
      <c r="D9" s="47" t="s">
        <v>17</v>
      </c>
      <c r="E9" s="47">
        <v>2</v>
      </c>
      <c r="F9" s="47" t="s">
        <v>756</v>
      </c>
      <c r="G9" s="47" t="s">
        <v>227</v>
      </c>
      <c r="H9" s="238">
        <v>9000</v>
      </c>
      <c r="I9" s="47" t="s">
        <v>38</v>
      </c>
      <c r="J9" s="47" t="s">
        <v>2120</v>
      </c>
      <c r="K9" s="235">
        <v>45323</v>
      </c>
      <c r="L9" s="236" t="s">
        <v>6122</v>
      </c>
      <c r="M9" s="47" t="s">
        <v>6109</v>
      </c>
    </row>
    <row r="10" spans="1:13" ht="15.75">
      <c r="A10" s="47">
        <v>9</v>
      </c>
      <c r="B10" s="240" t="s">
        <v>6123</v>
      </c>
      <c r="C10" s="47" t="s">
        <v>34</v>
      </c>
      <c r="D10" s="47" t="s">
        <v>168</v>
      </c>
      <c r="E10" s="47">
        <v>4</v>
      </c>
      <c r="F10" s="47" t="s">
        <v>756</v>
      </c>
      <c r="G10" s="47" t="s">
        <v>6124</v>
      </c>
      <c r="H10" s="238">
        <v>4800</v>
      </c>
      <c r="I10" s="47" t="s">
        <v>20</v>
      </c>
      <c r="J10" s="47" t="s">
        <v>2120</v>
      </c>
      <c r="K10" s="235">
        <v>45323</v>
      </c>
      <c r="L10" s="236" t="s">
        <v>20</v>
      </c>
      <c r="M10" s="47" t="s">
        <v>6109</v>
      </c>
    </row>
    <row r="11" spans="1:13" ht="15.75">
      <c r="A11" s="47">
        <v>10</v>
      </c>
      <c r="B11" s="240" t="s">
        <v>6125</v>
      </c>
      <c r="C11" s="47" t="s">
        <v>34</v>
      </c>
      <c r="D11" s="47" t="s">
        <v>168</v>
      </c>
      <c r="E11" s="47">
        <v>4</v>
      </c>
      <c r="F11" s="47" t="s">
        <v>756</v>
      </c>
      <c r="G11" s="47" t="s">
        <v>6124</v>
      </c>
      <c r="H11" s="238">
        <v>5500</v>
      </c>
      <c r="I11" s="47" t="s">
        <v>20</v>
      </c>
      <c r="J11" s="47" t="s">
        <v>2120</v>
      </c>
      <c r="K11" s="235">
        <v>45323</v>
      </c>
      <c r="L11" s="236" t="s">
        <v>20</v>
      </c>
      <c r="M11" s="47" t="s">
        <v>6109</v>
      </c>
    </row>
    <row r="12" spans="1:13" ht="15.75">
      <c r="A12" s="47">
        <v>11</v>
      </c>
      <c r="B12" s="240" t="s">
        <v>6126</v>
      </c>
      <c r="C12" s="47" t="s">
        <v>34</v>
      </c>
      <c r="D12" s="47" t="s">
        <v>168</v>
      </c>
      <c r="E12" s="47">
        <v>1</v>
      </c>
      <c r="F12" s="47" t="s">
        <v>756</v>
      </c>
      <c r="G12" s="47" t="s">
        <v>6127</v>
      </c>
      <c r="H12" s="238">
        <v>2800</v>
      </c>
      <c r="I12" s="47" t="s">
        <v>20</v>
      </c>
      <c r="J12" s="47" t="s">
        <v>2120</v>
      </c>
      <c r="K12" s="235">
        <v>45323</v>
      </c>
      <c r="L12" s="236" t="s">
        <v>20</v>
      </c>
      <c r="M12" s="47" t="s">
        <v>6109</v>
      </c>
    </row>
    <row r="13" spans="1:13" ht="15.75">
      <c r="A13" s="47">
        <v>12</v>
      </c>
      <c r="B13" s="240" t="s">
        <v>6128</v>
      </c>
      <c r="C13" s="47" t="s">
        <v>25</v>
      </c>
      <c r="D13" s="47" t="s">
        <v>17</v>
      </c>
      <c r="E13" s="47">
        <v>2</v>
      </c>
      <c r="F13" s="47" t="s">
        <v>756</v>
      </c>
      <c r="G13" s="47" t="s">
        <v>6129</v>
      </c>
      <c r="H13" s="238">
        <v>3500</v>
      </c>
      <c r="I13" s="47" t="s">
        <v>20</v>
      </c>
      <c r="J13" s="47" t="s">
        <v>6114</v>
      </c>
      <c r="K13" s="235">
        <v>45323</v>
      </c>
      <c r="L13" s="236" t="s">
        <v>20</v>
      </c>
      <c r="M13" s="47" t="s">
        <v>6109</v>
      </c>
    </row>
    <row r="14" spans="1:13" ht="15.75">
      <c r="A14" s="47">
        <v>13</v>
      </c>
      <c r="B14" s="240" t="s">
        <v>6130</v>
      </c>
      <c r="C14" s="47" t="s">
        <v>34</v>
      </c>
      <c r="D14" s="47" t="s">
        <v>168</v>
      </c>
      <c r="E14" s="47">
        <v>1</v>
      </c>
      <c r="F14" s="47" t="s">
        <v>756</v>
      </c>
      <c r="G14" s="47" t="s">
        <v>6131</v>
      </c>
      <c r="H14" s="238">
        <v>2400</v>
      </c>
      <c r="I14" s="47" t="s">
        <v>20</v>
      </c>
      <c r="J14" s="47" t="s">
        <v>36</v>
      </c>
      <c r="K14" s="235">
        <v>45323</v>
      </c>
      <c r="L14" s="236" t="s">
        <v>20</v>
      </c>
      <c r="M14" s="47" t="s">
        <v>6109</v>
      </c>
    </row>
    <row r="15" spans="1:13" ht="15.75">
      <c r="A15" s="47">
        <v>14</v>
      </c>
      <c r="B15" s="240" t="s">
        <v>6132</v>
      </c>
      <c r="C15" s="47" t="s">
        <v>34</v>
      </c>
      <c r="D15" s="47" t="s">
        <v>168</v>
      </c>
      <c r="E15" s="47">
        <v>4</v>
      </c>
      <c r="F15" s="47" t="s">
        <v>756</v>
      </c>
      <c r="G15" s="47" t="s">
        <v>6133</v>
      </c>
      <c r="H15" s="238">
        <v>1200</v>
      </c>
      <c r="I15" s="47" t="s">
        <v>20</v>
      </c>
      <c r="J15" s="47" t="s">
        <v>36</v>
      </c>
      <c r="K15" s="235">
        <v>45323</v>
      </c>
      <c r="L15" s="236" t="s">
        <v>20</v>
      </c>
      <c r="M15" s="47" t="s">
        <v>6109</v>
      </c>
    </row>
    <row r="16" spans="1:13" ht="15.75">
      <c r="A16" s="47">
        <v>15</v>
      </c>
      <c r="B16" s="240" t="s">
        <v>6134</v>
      </c>
      <c r="C16" s="47" t="s">
        <v>34</v>
      </c>
      <c r="D16" s="47" t="s">
        <v>168</v>
      </c>
      <c r="E16" s="47">
        <v>1</v>
      </c>
      <c r="F16" s="47" t="s">
        <v>756</v>
      </c>
      <c r="G16" s="47" t="s">
        <v>6135</v>
      </c>
      <c r="H16" s="238">
        <v>3200</v>
      </c>
      <c r="I16" s="47" t="s">
        <v>20</v>
      </c>
      <c r="J16" s="47" t="s">
        <v>36</v>
      </c>
      <c r="K16" s="235">
        <v>45323</v>
      </c>
      <c r="L16" s="236" t="s">
        <v>20</v>
      </c>
      <c r="M16" s="47" t="s">
        <v>6109</v>
      </c>
    </row>
    <row r="17" spans="1:13" ht="15.75">
      <c r="A17" s="47">
        <v>16</v>
      </c>
      <c r="B17" s="240" t="s">
        <v>6136</v>
      </c>
      <c r="C17" s="47" t="s">
        <v>34</v>
      </c>
      <c r="D17" s="47" t="s">
        <v>168</v>
      </c>
      <c r="E17" s="47">
        <v>1</v>
      </c>
      <c r="F17" s="47" t="s">
        <v>756</v>
      </c>
      <c r="G17" s="47" t="s">
        <v>6137</v>
      </c>
      <c r="H17" s="47">
        <v>500</v>
      </c>
      <c r="I17" s="47" t="s">
        <v>20</v>
      </c>
      <c r="J17" s="47" t="s">
        <v>2120</v>
      </c>
      <c r="K17" s="235">
        <v>45323</v>
      </c>
      <c r="L17" s="236" t="s">
        <v>20</v>
      </c>
      <c r="M17" s="47" t="s">
        <v>6109</v>
      </c>
    </row>
    <row r="18" spans="1:13" ht="15.75">
      <c r="A18" s="47">
        <v>17</v>
      </c>
      <c r="B18" s="240" t="s">
        <v>6138</v>
      </c>
      <c r="C18" s="47" t="s">
        <v>34</v>
      </c>
      <c r="D18" s="47" t="s">
        <v>168</v>
      </c>
      <c r="E18" s="47">
        <v>1</v>
      </c>
      <c r="F18" s="47" t="s">
        <v>756</v>
      </c>
      <c r="G18" s="47" t="s">
        <v>6137</v>
      </c>
      <c r="H18" s="47">
        <v>200</v>
      </c>
      <c r="I18" s="47" t="s">
        <v>20</v>
      </c>
      <c r="J18" s="47" t="s">
        <v>2120</v>
      </c>
      <c r="K18" s="235">
        <v>45323</v>
      </c>
      <c r="L18" s="236" t="s">
        <v>20</v>
      </c>
      <c r="M18" s="47" t="s">
        <v>6109</v>
      </c>
    </row>
    <row r="19" spans="1:13" ht="15.75">
      <c r="A19" s="47">
        <v>18</v>
      </c>
      <c r="B19" s="240" t="s">
        <v>6139</v>
      </c>
      <c r="C19" s="47" t="s">
        <v>34</v>
      </c>
      <c r="D19" s="47" t="s">
        <v>168</v>
      </c>
      <c r="E19" s="47">
        <v>6</v>
      </c>
      <c r="F19" s="47" t="s">
        <v>756</v>
      </c>
      <c r="G19" s="47" t="s">
        <v>6137</v>
      </c>
      <c r="H19" s="47">
        <v>250</v>
      </c>
      <c r="I19" s="47" t="s">
        <v>20</v>
      </c>
      <c r="J19" s="47" t="s">
        <v>2120</v>
      </c>
      <c r="K19" s="235">
        <v>45323</v>
      </c>
      <c r="L19" s="236" t="s">
        <v>20</v>
      </c>
      <c r="M19" s="47" t="s">
        <v>6109</v>
      </c>
    </row>
    <row r="20" spans="1:13" ht="15.75">
      <c r="A20" s="47">
        <v>19</v>
      </c>
      <c r="B20" s="240" t="s">
        <v>6140</v>
      </c>
      <c r="C20" s="47" t="s">
        <v>34</v>
      </c>
      <c r="D20" s="47" t="s">
        <v>168</v>
      </c>
      <c r="E20" s="47">
        <v>4</v>
      </c>
      <c r="F20" s="47" t="s">
        <v>756</v>
      </c>
      <c r="G20" s="47" t="s">
        <v>6141</v>
      </c>
      <c r="H20" s="47">
        <v>100</v>
      </c>
      <c r="I20" s="47" t="s">
        <v>20</v>
      </c>
      <c r="J20" s="47" t="s">
        <v>6114</v>
      </c>
      <c r="K20" s="235">
        <v>45323</v>
      </c>
      <c r="L20" s="236" t="s">
        <v>20</v>
      </c>
      <c r="M20" s="47" t="s">
        <v>6109</v>
      </c>
    </row>
    <row r="21" spans="1:13" ht="15.75">
      <c r="A21" s="47">
        <v>20</v>
      </c>
      <c r="B21" s="240" t="s">
        <v>6142</v>
      </c>
      <c r="C21" s="47" t="s">
        <v>34</v>
      </c>
      <c r="D21" s="47" t="s">
        <v>168</v>
      </c>
      <c r="E21" s="47">
        <v>2</v>
      </c>
      <c r="F21" s="47" t="s">
        <v>756</v>
      </c>
      <c r="G21" s="47" t="s">
        <v>227</v>
      </c>
      <c r="H21" s="47">
        <v>520</v>
      </c>
      <c r="I21" s="47" t="s">
        <v>20</v>
      </c>
      <c r="J21" s="47" t="s">
        <v>2120</v>
      </c>
      <c r="K21" s="235">
        <v>45323</v>
      </c>
      <c r="L21" s="236" t="s">
        <v>20</v>
      </c>
      <c r="M21" s="47" t="s">
        <v>6109</v>
      </c>
    </row>
    <row r="22" spans="1:13" ht="15.75">
      <c r="A22" s="47">
        <v>21</v>
      </c>
      <c r="B22" s="240" t="s">
        <v>6143</v>
      </c>
      <c r="C22" s="47" t="s">
        <v>34</v>
      </c>
      <c r="D22" s="47" t="s">
        <v>168</v>
      </c>
      <c r="E22" s="47">
        <v>6</v>
      </c>
      <c r="F22" s="47" t="s">
        <v>756</v>
      </c>
      <c r="G22" s="47" t="s">
        <v>6131</v>
      </c>
      <c r="H22" s="238">
        <v>1100</v>
      </c>
      <c r="I22" s="47" t="s">
        <v>20</v>
      </c>
      <c r="J22" s="47" t="s">
        <v>6114</v>
      </c>
      <c r="K22" s="235">
        <v>45323</v>
      </c>
      <c r="L22" s="236" t="s">
        <v>20</v>
      </c>
      <c r="M22" s="47" t="s">
        <v>6109</v>
      </c>
    </row>
    <row r="23" spans="1:13" ht="15.75">
      <c r="A23" s="47">
        <v>22</v>
      </c>
      <c r="B23" s="240" t="s">
        <v>6144</v>
      </c>
      <c r="C23" s="47" t="s">
        <v>34</v>
      </c>
      <c r="D23" s="47" t="s">
        <v>168</v>
      </c>
      <c r="E23" s="47">
        <v>6</v>
      </c>
      <c r="F23" s="47" t="s">
        <v>756</v>
      </c>
      <c r="G23" s="47" t="s">
        <v>6145</v>
      </c>
      <c r="H23" s="238">
        <v>1800</v>
      </c>
      <c r="I23" s="47" t="s">
        <v>20</v>
      </c>
      <c r="J23" s="47" t="s">
        <v>6114</v>
      </c>
      <c r="K23" s="235">
        <v>45323</v>
      </c>
      <c r="L23" s="236" t="s">
        <v>20</v>
      </c>
      <c r="M23" s="47" t="s">
        <v>6109</v>
      </c>
    </row>
    <row r="24" spans="1:13" ht="15.75">
      <c r="A24" s="47">
        <v>23</v>
      </c>
      <c r="B24" s="240" t="s">
        <v>6146</v>
      </c>
      <c r="C24" s="47" t="s">
        <v>34</v>
      </c>
      <c r="D24" s="47" t="s">
        <v>168</v>
      </c>
      <c r="E24" s="47">
        <v>2</v>
      </c>
      <c r="F24" s="47" t="s">
        <v>756</v>
      </c>
      <c r="G24" s="47" t="s">
        <v>6131</v>
      </c>
      <c r="H24" s="47">
        <v>800</v>
      </c>
      <c r="I24" s="47" t="s">
        <v>20</v>
      </c>
      <c r="J24" s="47" t="s">
        <v>36</v>
      </c>
      <c r="K24" s="235">
        <v>45323</v>
      </c>
      <c r="L24" s="236" t="s">
        <v>20</v>
      </c>
      <c r="M24" s="47" t="s">
        <v>6109</v>
      </c>
    </row>
    <row r="25" spans="1:13" ht="15.75">
      <c r="A25" s="47">
        <v>24</v>
      </c>
      <c r="B25" s="240" t="s">
        <v>6147</v>
      </c>
      <c r="C25" s="47" t="s">
        <v>34</v>
      </c>
      <c r="D25" s="47" t="s">
        <v>168</v>
      </c>
      <c r="E25" s="47">
        <v>1</v>
      </c>
      <c r="F25" s="47" t="s">
        <v>756</v>
      </c>
      <c r="G25" s="47" t="s">
        <v>6148</v>
      </c>
      <c r="H25" s="47">
        <v>50</v>
      </c>
      <c r="I25" s="47" t="s">
        <v>20</v>
      </c>
      <c r="J25" s="47" t="s">
        <v>36</v>
      </c>
      <c r="K25" s="235">
        <v>45323</v>
      </c>
      <c r="L25" s="236" t="s">
        <v>20</v>
      </c>
      <c r="M25" s="47" t="s">
        <v>6109</v>
      </c>
    </row>
    <row r="26" spans="1:13" ht="15.75">
      <c r="A26" s="47">
        <v>25</v>
      </c>
      <c r="B26" s="240" t="s">
        <v>6149</v>
      </c>
      <c r="C26" s="47" t="s">
        <v>34</v>
      </c>
      <c r="D26" s="47" t="s">
        <v>168</v>
      </c>
      <c r="E26" s="47">
        <v>2</v>
      </c>
      <c r="F26" s="47" t="s">
        <v>756</v>
      </c>
      <c r="G26" s="47" t="s">
        <v>6141</v>
      </c>
      <c r="H26" s="47">
        <v>350</v>
      </c>
      <c r="I26" s="47" t="s">
        <v>20</v>
      </c>
      <c r="J26" s="47" t="s">
        <v>2120</v>
      </c>
      <c r="K26" s="235">
        <v>45323</v>
      </c>
      <c r="L26" s="236" t="s">
        <v>20</v>
      </c>
      <c r="M26" s="47" t="s">
        <v>6109</v>
      </c>
    </row>
    <row r="27" spans="1:13" ht="15.75">
      <c r="A27" s="47">
        <v>26</v>
      </c>
      <c r="B27" s="240" t="s">
        <v>6150</v>
      </c>
      <c r="C27" s="47" t="s">
        <v>34</v>
      </c>
      <c r="D27" s="47" t="s">
        <v>17</v>
      </c>
      <c r="E27" s="47">
        <v>100</v>
      </c>
      <c r="F27" s="47" t="s">
        <v>756</v>
      </c>
      <c r="G27" s="47" t="s">
        <v>6141</v>
      </c>
      <c r="H27" s="47">
        <v>50</v>
      </c>
      <c r="I27" s="47" t="s">
        <v>20</v>
      </c>
      <c r="J27" s="47" t="s">
        <v>2120</v>
      </c>
      <c r="K27" s="235">
        <v>45323</v>
      </c>
      <c r="L27" s="236" t="s">
        <v>2933</v>
      </c>
      <c r="M27" s="47" t="s">
        <v>6109</v>
      </c>
    </row>
    <row r="28" spans="1:13" ht="15.75">
      <c r="A28" s="47">
        <v>27</v>
      </c>
      <c r="B28" s="240" t="s">
        <v>6151</v>
      </c>
      <c r="C28" s="47" t="s">
        <v>34</v>
      </c>
      <c r="D28" s="47" t="s">
        <v>17</v>
      </c>
      <c r="E28" s="47">
        <v>100</v>
      </c>
      <c r="F28" s="47" t="s">
        <v>756</v>
      </c>
      <c r="G28" s="47" t="s">
        <v>6141</v>
      </c>
      <c r="H28" s="47">
        <v>50</v>
      </c>
      <c r="I28" s="47" t="s">
        <v>20</v>
      </c>
      <c r="J28" s="47" t="s">
        <v>2120</v>
      </c>
      <c r="K28" s="235">
        <v>45323</v>
      </c>
      <c r="L28" s="236" t="s">
        <v>6152</v>
      </c>
      <c r="M28" s="47" t="s">
        <v>6109</v>
      </c>
    </row>
    <row r="29" spans="1:13" ht="15.75">
      <c r="A29" s="47">
        <v>28</v>
      </c>
      <c r="B29" s="240" t="s">
        <v>6153</v>
      </c>
      <c r="C29" s="47" t="s">
        <v>34</v>
      </c>
      <c r="D29" s="47" t="s">
        <v>17</v>
      </c>
      <c r="E29" s="47">
        <v>50</v>
      </c>
      <c r="F29" s="47" t="s">
        <v>756</v>
      </c>
      <c r="G29" s="47" t="s">
        <v>6141</v>
      </c>
      <c r="H29" s="47">
        <v>50</v>
      </c>
      <c r="I29" s="47" t="s">
        <v>20</v>
      </c>
      <c r="J29" s="47" t="s">
        <v>6114</v>
      </c>
      <c r="K29" s="235">
        <v>45323</v>
      </c>
      <c r="L29" s="236" t="s">
        <v>2933</v>
      </c>
      <c r="M29" s="47" t="s">
        <v>6109</v>
      </c>
    </row>
    <row r="30" spans="1:13" ht="15.75">
      <c r="A30" s="47">
        <v>29</v>
      </c>
      <c r="B30" s="240" t="s">
        <v>6154</v>
      </c>
      <c r="C30" s="47" t="s">
        <v>34</v>
      </c>
      <c r="D30" s="47" t="s">
        <v>17</v>
      </c>
      <c r="E30" s="47">
        <v>100</v>
      </c>
      <c r="F30" s="47" t="s">
        <v>756</v>
      </c>
      <c r="G30" s="47" t="s">
        <v>6141</v>
      </c>
      <c r="H30" s="47">
        <v>100</v>
      </c>
      <c r="I30" s="47" t="s">
        <v>20</v>
      </c>
      <c r="J30" s="47" t="s">
        <v>6114</v>
      </c>
      <c r="K30" s="235">
        <v>45323</v>
      </c>
      <c r="L30" s="236" t="s">
        <v>2933</v>
      </c>
      <c r="M30" s="47" t="s">
        <v>6109</v>
      </c>
    </row>
    <row r="31" spans="1:13" ht="15.75">
      <c r="A31" s="47">
        <v>30</v>
      </c>
      <c r="B31" s="240" t="s">
        <v>6155</v>
      </c>
      <c r="C31" s="47" t="s">
        <v>34</v>
      </c>
      <c r="D31" s="47" t="s">
        <v>17</v>
      </c>
      <c r="E31" s="47">
        <v>10000</v>
      </c>
      <c r="F31" s="47" t="s">
        <v>756</v>
      </c>
      <c r="G31" s="47" t="s">
        <v>6141</v>
      </c>
      <c r="H31" s="47">
        <v>1500</v>
      </c>
      <c r="I31" s="47" t="s">
        <v>20</v>
      </c>
      <c r="J31" s="47" t="s">
        <v>2120</v>
      </c>
      <c r="K31" s="235">
        <v>45323</v>
      </c>
      <c r="L31" s="236" t="s">
        <v>6152</v>
      </c>
      <c r="M31" s="47" t="s">
        <v>6109</v>
      </c>
    </row>
    <row r="32" spans="1:13" ht="15.75">
      <c r="A32" s="47">
        <v>31</v>
      </c>
      <c r="B32" s="240" t="s">
        <v>6156</v>
      </c>
      <c r="C32" s="47" t="s">
        <v>34</v>
      </c>
      <c r="D32" s="47" t="s">
        <v>17</v>
      </c>
      <c r="E32" s="47">
        <v>100000</v>
      </c>
      <c r="F32" s="47" t="s">
        <v>756</v>
      </c>
      <c r="G32" s="47" t="s">
        <v>6157</v>
      </c>
      <c r="H32" s="238">
        <v>8000</v>
      </c>
      <c r="I32" s="47" t="s">
        <v>20</v>
      </c>
      <c r="J32" s="47" t="s">
        <v>2120</v>
      </c>
      <c r="K32" s="235">
        <v>45323</v>
      </c>
      <c r="L32" s="236" t="s">
        <v>6158</v>
      </c>
      <c r="M32" s="47" t="s">
        <v>6109</v>
      </c>
    </row>
    <row r="33" spans="1:13" ht="15.75">
      <c r="A33" s="47">
        <v>32</v>
      </c>
      <c r="B33" s="240" t="s">
        <v>6159</v>
      </c>
      <c r="C33" s="47" t="s">
        <v>34</v>
      </c>
      <c r="D33" s="47" t="s">
        <v>168</v>
      </c>
      <c r="E33" s="47">
        <v>2</v>
      </c>
      <c r="F33" s="47" t="s">
        <v>756</v>
      </c>
      <c r="G33" s="47" t="s">
        <v>6157</v>
      </c>
      <c r="H33" s="238">
        <v>2300</v>
      </c>
      <c r="I33" s="47" t="s">
        <v>20</v>
      </c>
      <c r="J33" s="47" t="s">
        <v>36</v>
      </c>
      <c r="K33" s="235">
        <v>45323</v>
      </c>
      <c r="L33" s="236" t="s">
        <v>20</v>
      </c>
      <c r="M33" s="47" t="s">
        <v>6109</v>
      </c>
    </row>
    <row r="34" spans="1:13" ht="15.75">
      <c r="A34" s="47">
        <v>33</v>
      </c>
      <c r="B34" s="240" t="s">
        <v>6160</v>
      </c>
      <c r="C34" s="47" t="s">
        <v>34</v>
      </c>
      <c r="D34" s="47" t="s">
        <v>17</v>
      </c>
      <c r="E34" s="47">
        <v>1000</v>
      </c>
      <c r="F34" s="47" t="s">
        <v>756</v>
      </c>
      <c r="G34" s="47" t="s">
        <v>6141</v>
      </c>
      <c r="H34" s="47">
        <v>80</v>
      </c>
      <c r="I34" s="47" t="s">
        <v>20</v>
      </c>
      <c r="J34" s="47" t="s">
        <v>6114</v>
      </c>
      <c r="K34" s="235">
        <v>45323</v>
      </c>
      <c r="L34" s="236" t="s">
        <v>2933</v>
      </c>
      <c r="M34" s="47" t="s">
        <v>6109</v>
      </c>
    </row>
    <row r="35" spans="1:13" ht="15.75">
      <c r="A35" s="47">
        <v>34</v>
      </c>
      <c r="B35" s="240" t="s">
        <v>6161</v>
      </c>
      <c r="C35" s="47" t="s">
        <v>34</v>
      </c>
      <c r="D35" s="47" t="s">
        <v>17</v>
      </c>
      <c r="E35" s="47">
        <v>1000</v>
      </c>
      <c r="F35" s="47" t="s">
        <v>756</v>
      </c>
      <c r="G35" s="47" t="s">
        <v>6141</v>
      </c>
      <c r="H35" s="238">
        <v>2600</v>
      </c>
      <c r="I35" s="47" t="s">
        <v>20</v>
      </c>
      <c r="J35" s="47" t="s">
        <v>2120</v>
      </c>
      <c r="K35" s="235">
        <v>45323</v>
      </c>
      <c r="L35" s="236" t="s">
        <v>20</v>
      </c>
      <c r="M35" s="47" t="s">
        <v>6109</v>
      </c>
    </row>
    <row r="36" spans="1:13" ht="15.75">
      <c r="A36" s="47">
        <v>35</v>
      </c>
      <c r="B36" s="240" t="s">
        <v>6162</v>
      </c>
      <c r="C36" s="47" t="s">
        <v>34</v>
      </c>
      <c r="D36" s="47" t="s">
        <v>168</v>
      </c>
      <c r="E36" s="47">
        <v>4</v>
      </c>
      <c r="F36" s="47" t="s">
        <v>756</v>
      </c>
      <c r="G36" s="47" t="s">
        <v>6141</v>
      </c>
      <c r="H36" s="47">
        <v>100</v>
      </c>
      <c r="I36" s="47" t="s">
        <v>20</v>
      </c>
      <c r="J36" s="47" t="s">
        <v>6114</v>
      </c>
      <c r="K36" s="235">
        <v>45323</v>
      </c>
      <c r="L36" s="236" t="s">
        <v>20</v>
      </c>
      <c r="M36" s="47" t="s">
        <v>6109</v>
      </c>
    </row>
    <row r="37" spans="1:13" ht="15.75">
      <c r="A37" s="47">
        <v>36</v>
      </c>
      <c r="B37" s="240" t="s">
        <v>6163</v>
      </c>
      <c r="C37" s="47" t="s">
        <v>34</v>
      </c>
      <c r="D37" s="47" t="s">
        <v>168</v>
      </c>
      <c r="E37" s="47">
        <v>6</v>
      </c>
      <c r="F37" s="47" t="s">
        <v>756</v>
      </c>
      <c r="G37" s="47" t="s">
        <v>6141</v>
      </c>
      <c r="H37" s="47">
        <v>180</v>
      </c>
      <c r="I37" s="47" t="s">
        <v>20</v>
      </c>
      <c r="J37" s="47" t="s">
        <v>6114</v>
      </c>
      <c r="K37" s="235">
        <v>45323</v>
      </c>
      <c r="L37" s="236" t="s">
        <v>20</v>
      </c>
      <c r="M37" s="47" t="s">
        <v>6109</v>
      </c>
    </row>
    <row r="38" spans="1:13" ht="15.75">
      <c r="A38" s="47">
        <v>37</v>
      </c>
      <c r="B38" s="240" t="s">
        <v>6164</v>
      </c>
      <c r="C38" s="47" t="s">
        <v>34</v>
      </c>
      <c r="D38" s="47" t="s">
        <v>168</v>
      </c>
      <c r="E38" s="47">
        <v>6</v>
      </c>
      <c r="F38" s="47" t="s">
        <v>756</v>
      </c>
      <c r="G38" s="47" t="s">
        <v>6141</v>
      </c>
      <c r="H38" s="47">
        <v>50</v>
      </c>
      <c r="I38" s="47" t="s">
        <v>20</v>
      </c>
      <c r="J38" s="47" t="s">
        <v>6114</v>
      </c>
      <c r="K38" s="47" t="s">
        <v>6165</v>
      </c>
      <c r="L38" s="236" t="s">
        <v>20</v>
      </c>
      <c r="M38" s="47" t="s">
        <v>6109</v>
      </c>
    </row>
    <row r="39" spans="1:13" ht="15.75">
      <c r="A39" s="47">
        <v>38</v>
      </c>
      <c r="B39" s="240" t="s">
        <v>6166</v>
      </c>
      <c r="C39" s="47" t="s">
        <v>34</v>
      </c>
      <c r="D39" s="47" t="s">
        <v>168</v>
      </c>
      <c r="E39" s="47">
        <v>6</v>
      </c>
      <c r="F39" s="47" t="s">
        <v>756</v>
      </c>
      <c r="G39" s="47" t="s">
        <v>6141</v>
      </c>
      <c r="H39" s="47">
        <v>100</v>
      </c>
      <c r="I39" s="47" t="s">
        <v>20</v>
      </c>
      <c r="J39" s="47" t="s">
        <v>6114</v>
      </c>
      <c r="K39" s="235">
        <v>45323</v>
      </c>
      <c r="L39" s="236" t="s">
        <v>20</v>
      </c>
      <c r="M39" s="47" t="s">
        <v>6109</v>
      </c>
    </row>
    <row r="40" spans="1:13" ht="15.75">
      <c r="A40" s="47">
        <v>39</v>
      </c>
      <c r="B40" s="240" t="s">
        <v>6167</v>
      </c>
      <c r="C40" s="47" t="s">
        <v>25</v>
      </c>
      <c r="D40" s="47" t="s">
        <v>17</v>
      </c>
      <c r="E40" s="47">
        <v>12</v>
      </c>
      <c r="F40" s="47" t="s">
        <v>6168</v>
      </c>
      <c r="G40" s="47" t="s">
        <v>6167</v>
      </c>
      <c r="H40" s="238">
        <v>1600</v>
      </c>
      <c r="I40" s="47" t="s">
        <v>38</v>
      </c>
      <c r="J40" s="47" t="s">
        <v>2120</v>
      </c>
      <c r="K40" s="235">
        <v>45323</v>
      </c>
      <c r="L40" s="236" t="s">
        <v>2933</v>
      </c>
      <c r="M40" s="47" t="s">
        <v>6109</v>
      </c>
    </row>
    <row r="41" spans="1:13" ht="15.75">
      <c r="A41" s="47">
        <v>40</v>
      </c>
      <c r="B41" s="240" t="s">
        <v>6169</v>
      </c>
      <c r="C41" s="47" t="s">
        <v>34</v>
      </c>
      <c r="D41" s="47" t="s">
        <v>17</v>
      </c>
      <c r="E41" s="47">
        <v>1000</v>
      </c>
      <c r="F41" s="47" t="s">
        <v>756</v>
      </c>
      <c r="G41" s="47" t="s">
        <v>6170</v>
      </c>
      <c r="H41" s="238">
        <v>1200</v>
      </c>
      <c r="I41" s="47" t="s">
        <v>20</v>
      </c>
      <c r="J41" s="47" t="s">
        <v>2120</v>
      </c>
      <c r="K41" s="235">
        <v>45323</v>
      </c>
      <c r="L41" s="236" t="s">
        <v>6171</v>
      </c>
      <c r="M41" s="47" t="s">
        <v>6109</v>
      </c>
    </row>
    <row r="42" spans="1:13" ht="15.75">
      <c r="A42" s="47">
        <v>41</v>
      </c>
      <c r="B42" s="240" t="s">
        <v>6172</v>
      </c>
      <c r="C42" s="47" t="s">
        <v>34</v>
      </c>
      <c r="D42" s="47" t="s">
        <v>17</v>
      </c>
      <c r="E42" s="47">
        <v>50</v>
      </c>
      <c r="F42" s="47" t="s">
        <v>756</v>
      </c>
      <c r="G42" s="47" t="s">
        <v>6127</v>
      </c>
      <c r="H42" s="238">
        <v>2000</v>
      </c>
      <c r="I42" s="47" t="s">
        <v>20</v>
      </c>
      <c r="J42" s="47" t="s">
        <v>2120</v>
      </c>
      <c r="K42" s="235">
        <v>45323</v>
      </c>
      <c r="L42" s="236" t="s">
        <v>6173</v>
      </c>
      <c r="M42" s="47" t="s">
        <v>6109</v>
      </c>
    </row>
    <row r="43" spans="1:13" ht="15.75">
      <c r="A43" s="47">
        <v>42</v>
      </c>
      <c r="B43" s="240" t="s">
        <v>575</v>
      </c>
      <c r="C43" s="47" t="s">
        <v>25</v>
      </c>
      <c r="D43" s="47" t="s">
        <v>17</v>
      </c>
      <c r="E43" s="47"/>
      <c r="F43" s="47" t="s">
        <v>2977</v>
      </c>
      <c r="G43" s="47" t="s">
        <v>6174</v>
      </c>
      <c r="H43" s="238">
        <v>3500</v>
      </c>
      <c r="I43" s="47" t="s">
        <v>20</v>
      </c>
      <c r="J43" s="47" t="s">
        <v>2120</v>
      </c>
      <c r="K43" s="235">
        <v>45323</v>
      </c>
      <c r="L43" s="236" t="s">
        <v>6175</v>
      </c>
      <c r="M43" s="47" t="s">
        <v>6109</v>
      </c>
    </row>
    <row r="44" spans="1:13" ht="15.75">
      <c r="A44" s="47">
        <v>43</v>
      </c>
      <c r="B44" s="240" t="s">
        <v>6176</v>
      </c>
      <c r="C44" s="47" t="s">
        <v>25</v>
      </c>
      <c r="D44" s="47" t="s">
        <v>17</v>
      </c>
      <c r="E44" s="47"/>
      <c r="F44" s="47" t="s">
        <v>2977</v>
      </c>
      <c r="G44" s="47" t="s">
        <v>6174</v>
      </c>
      <c r="H44" s="238">
        <v>5000</v>
      </c>
      <c r="I44" s="47" t="s">
        <v>38</v>
      </c>
      <c r="J44" s="47" t="s">
        <v>6114</v>
      </c>
      <c r="K44" s="235">
        <v>45323</v>
      </c>
      <c r="L44" s="236" t="s">
        <v>6177</v>
      </c>
      <c r="M44" s="47" t="s">
        <v>6109</v>
      </c>
    </row>
    <row r="45" spans="1:13" ht="15.75">
      <c r="A45" s="47">
        <v>44</v>
      </c>
      <c r="B45" s="240" t="s">
        <v>6178</v>
      </c>
      <c r="C45" s="47" t="s">
        <v>25</v>
      </c>
      <c r="D45" s="47" t="s">
        <v>17</v>
      </c>
      <c r="E45" s="47"/>
      <c r="F45" s="47" t="s">
        <v>2977</v>
      </c>
      <c r="G45" s="47" t="s">
        <v>6174</v>
      </c>
      <c r="H45" s="238">
        <v>5000</v>
      </c>
      <c r="I45" s="47" t="s">
        <v>38</v>
      </c>
      <c r="J45" s="47" t="s">
        <v>6114</v>
      </c>
      <c r="K45" s="235">
        <v>45323</v>
      </c>
      <c r="L45" s="236" t="s">
        <v>6177</v>
      </c>
      <c r="M45" s="47" t="s">
        <v>6109</v>
      </c>
    </row>
    <row r="46" spans="1:13" ht="15.75">
      <c r="A46" s="47">
        <v>45</v>
      </c>
      <c r="B46" s="240" t="s">
        <v>6179</v>
      </c>
      <c r="C46" s="47" t="s">
        <v>34</v>
      </c>
      <c r="D46" s="47" t="s">
        <v>168</v>
      </c>
      <c r="E46" s="47">
        <v>2</v>
      </c>
      <c r="F46" s="47" t="s">
        <v>756</v>
      </c>
      <c r="G46" s="47" t="s">
        <v>6180</v>
      </c>
      <c r="H46" s="238">
        <v>3500</v>
      </c>
      <c r="I46" s="47" t="s">
        <v>20</v>
      </c>
      <c r="J46" s="47" t="s">
        <v>6114</v>
      </c>
      <c r="K46" s="235">
        <v>45323</v>
      </c>
      <c r="L46" s="236" t="s">
        <v>20</v>
      </c>
      <c r="M46" s="47" t="s">
        <v>6109</v>
      </c>
    </row>
    <row r="47" spans="1:13" ht="15.75">
      <c r="A47" s="47">
        <v>46</v>
      </c>
      <c r="B47" s="240" t="s">
        <v>6181</v>
      </c>
      <c r="C47" s="47" t="s">
        <v>34</v>
      </c>
      <c r="D47" s="47" t="s">
        <v>168</v>
      </c>
      <c r="E47" s="47">
        <v>4</v>
      </c>
      <c r="F47" s="47" t="s">
        <v>756</v>
      </c>
      <c r="G47" s="47" t="s">
        <v>6180</v>
      </c>
      <c r="H47" s="238">
        <v>1500</v>
      </c>
      <c r="I47" s="47" t="s">
        <v>20</v>
      </c>
      <c r="J47" s="47" t="s">
        <v>6114</v>
      </c>
      <c r="K47" s="235">
        <v>45323</v>
      </c>
      <c r="L47" s="236" t="s">
        <v>20</v>
      </c>
      <c r="M47" s="47" t="s">
        <v>6109</v>
      </c>
    </row>
    <row r="48" spans="1:13" ht="15.75">
      <c r="A48" s="47">
        <v>47</v>
      </c>
      <c r="B48" s="240" t="s">
        <v>6182</v>
      </c>
      <c r="C48" s="47" t="s">
        <v>25</v>
      </c>
      <c r="D48" s="47" t="s">
        <v>17</v>
      </c>
      <c r="E48" s="47"/>
      <c r="F48" s="47" t="s">
        <v>2977</v>
      </c>
      <c r="G48" s="47" t="s">
        <v>6180</v>
      </c>
      <c r="H48" s="238">
        <v>5000</v>
      </c>
      <c r="I48" s="47" t="s">
        <v>38</v>
      </c>
      <c r="J48" s="47" t="s">
        <v>2120</v>
      </c>
      <c r="K48" s="235">
        <v>45323</v>
      </c>
      <c r="L48" s="236" t="s">
        <v>6177</v>
      </c>
      <c r="M48" s="47" t="s">
        <v>6109</v>
      </c>
    </row>
    <row r="49" spans="1:13" ht="15.75">
      <c r="A49" s="47">
        <v>48</v>
      </c>
      <c r="B49" s="240" t="s">
        <v>6183</v>
      </c>
      <c r="C49" s="47" t="s">
        <v>25</v>
      </c>
      <c r="D49" s="47" t="s">
        <v>17</v>
      </c>
      <c r="E49" s="47"/>
      <c r="F49" s="47" t="s">
        <v>2977</v>
      </c>
      <c r="G49" s="47" t="s">
        <v>6184</v>
      </c>
      <c r="H49" s="238">
        <v>30000</v>
      </c>
      <c r="I49" s="47" t="s">
        <v>20</v>
      </c>
      <c r="J49" s="47" t="s">
        <v>2120</v>
      </c>
      <c r="K49" s="235">
        <v>45323</v>
      </c>
      <c r="L49" s="236" t="s">
        <v>6185</v>
      </c>
      <c r="M49" s="47" t="s">
        <v>6109</v>
      </c>
    </row>
    <row r="50" spans="1:13" ht="15.75">
      <c r="A50" s="47">
        <v>49</v>
      </c>
      <c r="B50" s="240" t="s">
        <v>6186</v>
      </c>
      <c r="C50" s="47" t="s">
        <v>25</v>
      </c>
      <c r="D50" s="47" t="s">
        <v>17</v>
      </c>
      <c r="E50" s="47">
        <v>2500</v>
      </c>
      <c r="F50" s="47" t="s">
        <v>756</v>
      </c>
      <c r="G50" s="47" t="s">
        <v>6187</v>
      </c>
      <c r="H50" s="238">
        <v>30000</v>
      </c>
      <c r="I50" s="47" t="s">
        <v>20</v>
      </c>
      <c r="J50" s="47" t="s">
        <v>2120</v>
      </c>
      <c r="K50" s="235">
        <v>45323</v>
      </c>
      <c r="L50" s="236" t="s">
        <v>6188</v>
      </c>
      <c r="M50" s="47" t="s">
        <v>6109</v>
      </c>
    </row>
    <row r="51" spans="1:13" ht="15.75">
      <c r="A51" s="47">
        <v>50</v>
      </c>
      <c r="B51" s="240" t="s">
        <v>6189</v>
      </c>
      <c r="C51" s="47" t="s">
        <v>34</v>
      </c>
      <c r="D51" s="47" t="s">
        <v>168</v>
      </c>
      <c r="E51" s="47">
        <v>1</v>
      </c>
      <c r="F51" s="47" t="s">
        <v>756</v>
      </c>
      <c r="G51" s="47" t="s">
        <v>6131</v>
      </c>
      <c r="H51" s="47" t="s">
        <v>6190</v>
      </c>
      <c r="I51" s="47" t="s">
        <v>20</v>
      </c>
      <c r="J51" s="47" t="s">
        <v>2120</v>
      </c>
      <c r="K51" s="235">
        <v>45323</v>
      </c>
      <c r="L51" s="236" t="s">
        <v>20</v>
      </c>
      <c r="M51" s="47" t="s">
        <v>6109</v>
      </c>
    </row>
    <row r="52" spans="1:13" ht="15.75">
      <c r="A52" s="47">
        <v>51</v>
      </c>
      <c r="B52" s="240" t="s">
        <v>6191</v>
      </c>
      <c r="C52" s="47" t="s">
        <v>34</v>
      </c>
      <c r="D52" s="47" t="s">
        <v>168</v>
      </c>
      <c r="E52" s="47">
        <v>1</v>
      </c>
      <c r="F52" s="47" t="s">
        <v>756</v>
      </c>
      <c r="G52" s="47" t="s">
        <v>6127</v>
      </c>
      <c r="H52" s="238">
        <v>1800</v>
      </c>
      <c r="I52" s="47" t="s">
        <v>20</v>
      </c>
      <c r="J52" s="47" t="s">
        <v>2120</v>
      </c>
      <c r="K52" s="235">
        <v>45323</v>
      </c>
      <c r="L52" s="236" t="s">
        <v>20</v>
      </c>
      <c r="M52" s="47" t="s">
        <v>6109</v>
      </c>
    </row>
    <row r="53" spans="1:13" ht="15.75">
      <c r="A53" s="47">
        <v>52</v>
      </c>
      <c r="B53" s="240" t="s">
        <v>6192</v>
      </c>
      <c r="C53" s="47" t="s">
        <v>25</v>
      </c>
      <c r="D53" s="47" t="s">
        <v>17</v>
      </c>
      <c r="E53" s="47"/>
      <c r="F53" s="47" t="s">
        <v>2977</v>
      </c>
      <c r="G53" s="47" t="s">
        <v>6180</v>
      </c>
      <c r="H53" s="238">
        <v>3500</v>
      </c>
      <c r="I53" s="47" t="s">
        <v>20</v>
      </c>
      <c r="J53" s="47" t="s">
        <v>2120</v>
      </c>
      <c r="K53" s="235">
        <v>45323</v>
      </c>
      <c r="L53" s="236" t="s">
        <v>6193</v>
      </c>
      <c r="M53" s="47" t="s">
        <v>6109</v>
      </c>
    </row>
    <row r="54" spans="1:13" ht="15.75">
      <c r="A54" s="47">
        <v>53</v>
      </c>
      <c r="B54" s="240" t="s">
        <v>6194</v>
      </c>
      <c r="C54" s="47" t="s">
        <v>25</v>
      </c>
      <c r="D54" s="47" t="s">
        <v>17</v>
      </c>
      <c r="E54" s="47"/>
      <c r="F54" s="47" t="s">
        <v>2977</v>
      </c>
      <c r="G54" s="47" t="s">
        <v>6180</v>
      </c>
      <c r="H54" s="238">
        <v>4800</v>
      </c>
      <c r="I54" s="47" t="s">
        <v>20</v>
      </c>
      <c r="J54" s="47" t="s">
        <v>2120</v>
      </c>
      <c r="K54" s="235">
        <v>45323</v>
      </c>
      <c r="L54" s="236" t="s">
        <v>6193</v>
      </c>
      <c r="M54" s="47" t="s">
        <v>6109</v>
      </c>
    </row>
    <row r="55" spans="1:13" ht="15.75">
      <c r="A55" s="47">
        <v>54</v>
      </c>
      <c r="B55" s="240" t="s">
        <v>6195</v>
      </c>
      <c r="C55" s="47" t="s">
        <v>25</v>
      </c>
      <c r="D55" s="47" t="s">
        <v>17</v>
      </c>
      <c r="E55" s="47"/>
      <c r="F55" s="47" t="s">
        <v>2977</v>
      </c>
      <c r="G55" s="47" t="s">
        <v>6180</v>
      </c>
      <c r="H55" s="238">
        <v>3500</v>
      </c>
      <c r="I55" s="47" t="s">
        <v>20</v>
      </c>
      <c r="J55" s="47" t="s">
        <v>2120</v>
      </c>
      <c r="K55" s="235">
        <v>45323</v>
      </c>
      <c r="L55" s="236" t="s">
        <v>6193</v>
      </c>
      <c r="M55" s="47" t="s">
        <v>6109</v>
      </c>
    </row>
    <row r="56" spans="1:13" ht="15.75">
      <c r="A56" s="47">
        <v>55</v>
      </c>
      <c r="B56" s="240" t="s">
        <v>6196</v>
      </c>
      <c r="C56" s="47" t="s">
        <v>34</v>
      </c>
      <c r="D56" s="47" t="s">
        <v>17</v>
      </c>
      <c r="E56" s="47"/>
      <c r="F56" s="47" t="s">
        <v>2977</v>
      </c>
      <c r="G56" s="47" t="s">
        <v>6141</v>
      </c>
      <c r="H56" s="47" t="s">
        <v>6197</v>
      </c>
      <c r="I56" s="47" t="s">
        <v>20</v>
      </c>
      <c r="J56" s="47" t="s">
        <v>2120</v>
      </c>
      <c r="K56" s="235">
        <v>45323</v>
      </c>
      <c r="L56" s="236" t="s">
        <v>20</v>
      </c>
      <c r="M56" s="47" t="s">
        <v>6109</v>
      </c>
    </row>
    <row r="57" spans="1:13" ht="15.75">
      <c r="A57" s="47">
        <v>56</v>
      </c>
      <c r="B57" s="240" t="s">
        <v>6198</v>
      </c>
      <c r="C57" s="47" t="s">
        <v>25</v>
      </c>
      <c r="D57" s="47" t="s">
        <v>17</v>
      </c>
      <c r="E57" s="47"/>
      <c r="F57" s="47" t="s">
        <v>6199</v>
      </c>
      <c r="G57" s="47" t="s">
        <v>6157</v>
      </c>
      <c r="H57" s="238">
        <v>25000</v>
      </c>
      <c r="I57" s="47" t="s">
        <v>20</v>
      </c>
      <c r="J57" s="47" t="s">
        <v>6114</v>
      </c>
      <c r="K57" s="235">
        <v>45323</v>
      </c>
      <c r="L57" s="236" t="s">
        <v>6200</v>
      </c>
      <c r="M57" s="47" t="s">
        <v>6109</v>
      </c>
    </row>
    <row r="58" spans="1:13" ht="15.75">
      <c r="A58" s="47">
        <v>57</v>
      </c>
      <c r="B58" s="240" t="s">
        <v>6201</v>
      </c>
      <c r="C58" s="47" t="s">
        <v>34</v>
      </c>
      <c r="D58" s="47" t="s">
        <v>168</v>
      </c>
      <c r="E58" s="47">
        <v>1</v>
      </c>
      <c r="F58" s="47" t="s">
        <v>756</v>
      </c>
      <c r="G58" s="47" t="s">
        <v>6127</v>
      </c>
      <c r="H58" s="47" t="s">
        <v>6202</v>
      </c>
      <c r="I58" s="47" t="s">
        <v>20</v>
      </c>
      <c r="J58" s="47" t="s">
        <v>2120</v>
      </c>
      <c r="K58" s="235">
        <v>45323</v>
      </c>
      <c r="L58" s="236" t="s">
        <v>20</v>
      </c>
      <c r="M58" s="47" t="s">
        <v>6109</v>
      </c>
    </row>
    <row r="59" spans="1:13" ht="15.75">
      <c r="A59" s="47">
        <v>58</v>
      </c>
      <c r="B59" s="240" t="s">
        <v>6203</v>
      </c>
      <c r="C59" s="47" t="s">
        <v>34</v>
      </c>
      <c r="D59" s="47" t="s">
        <v>168</v>
      </c>
      <c r="E59" s="47">
        <v>2</v>
      </c>
      <c r="F59" s="47" t="s">
        <v>756</v>
      </c>
      <c r="G59" s="47" t="s">
        <v>6127</v>
      </c>
      <c r="H59" s="47" t="s">
        <v>6204</v>
      </c>
      <c r="I59" s="47" t="s">
        <v>20</v>
      </c>
      <c r="J59" s="47" t="s">
        <v>6114</v>
      </c>
      <c r="K59" s="235">
        <v>45323</v>
      </c>
      <c r="L59" s="236" t="s">
        <v>20</v>
      </c>
      <c r="M59" s="47" t="s">
        <v>6109</v>
      </c>
    </row>
    <row r="60" spans="1:13" ht="15.75">
      <c r="A60" s="47">
        <v>59</v>
      </c>
      <c r="B60" s="240" t="s">
        <v>6205</v>
      </c>
      <c r="C60" s="47" t="s">
        <v>34</v>
      </c>
      <c r="D60" s="47" t="s">
        <v>168</v>
      </c>
      <c r="E60" s="47">
        <v>12</v>
      </c>
      <c r="F60" s="47" t="s">
        <v>756</v>
      </c>
      <c r="G60" s="47" t="s">
        <v>6127</v>
      </c>
      <c r="H60" s="47" t="s">
        <v>6204</v>
      </c>
      <c r="I60" s="47" t="s">
        <v>20</v>
      </c>
      <c r="J60" s="47" t="s">
        <v>6114</v>
      </c>
      <c r="K60" s="239">
        <v>45323</v>
      </c>
      <c r="L60" s="236" t="s">
        <v>20</v>
      </c>
      <c r="M60" s="47" t="s">
        <v>6109</v>
      </c>
    </row>
    <row r="61" spans="1:13" ht="15.75">
      <c r="A61" s="47">
        <v>60</v>
      </c>
      <c r="B61" s="240" t="s">
        <v>6206</v>
      </c>
      <c r="C61" s="47" t="s">
        <v>34</v>
      </c>
      <c r="D61" s="47" t="s">
        <v>168</v>
      </c>
      <c r="E61" s="47">
        <v>6</v>
      </c>
      <c r="F61" s="47" t="s">
        <v>756</v>
      </c>
      <c r="G61" s="47" t="s">
        <v>6127</v>
      </c>
      <c r="H61" s="47" t="s">
        <v>6204</v>
      </c>
      <c r="I61" s="47" t="s">
        <v>20</v>
      </c>
      <c r="J61" s="47" t="s">
        <v>6114</v>
      </c>
      <c r="K61" s="235">
        <v>45323</v>
      </c>
      <c r="L61" s="236" t="s">
        <v>20</v>
      </c>
      <c r="M61" s="47" t="s">
        <v>6109</v>
      </c>
    </row>
    <row r="62" spans="1:13" ht="15.75">
      <c r="A62" s="47">
        <v>61</v>
      </c>
      <c r="B62" s="240" t="s">
        <v>6207</v>
      </c>
      <c r="C62" s="47" t="s">
        <v>34</v>
      </c>
      <c r="D62" s="47" t="s">
        <v>168</v>
      </c>
      <c r="E62" s="47">
        <v>6</v>
      </c>
      <c r="F62" s="47" t="s">
        <v>756</v>
      </c>
      <c r="G62" s="47" t="s">
        <v>6127</v>
      </c>
      <c r="H62" s="47" t="s">
        <v>6208</v>
      </c>
      <c r="I62" s="47" t="s">
        <v>20</v>
      </c>
      <c r="J62" s="47" t="s">
        <v>6114</v>
      </c>
      <c r="K62" s="235">
        <v>45323</v>
      </c>
      <c r="L62" s="236" t="s">
        <v>20</v>
      </c>
      <c r="M62" s="47" t="s">
        <v>6109</v>
      </c>
    </row>
    <row r="63" spans="1:13" ht="15.75">
      <c r="A63" s="47">
        <v>62</v>
      </c>
      <c r="B63" s="240" t="s">
        <v>6209</v>
      </c>
      <c r="C63" s="47" t="s">
        <v>34</v>
      </c>
      <c r="D63" s="47" t="s">
        <v>17</v>
      </c>
      <c r="E63" s="47"/>
      <c r="F63" s="47" t="s">
        <v>2052</v>
      </c>
      <c r="G63" s="47" t="s">
        <v>6180</v>
      </c>
      <c r="H63" s="238">
        <v>1000000</v>
      </c>
      <c r="I63" s="47" t="s">
        <v>20</v>
      </c>
      <c r="J63" s="47" t="s">
        <v>2120</v>
      </c>
      <c r="K63" s="235">
        <v>45323</v>
      </c>
      <c r="L63" s="236" t="s">
        <v>20</v>
      </c>
      <c r="M63" s="47" t="s">
        <v>6109</v>
      </c>
    </row>
    <row r="64" spans="1:13" ht="15.75">
      <c r="A64" s="47">
        <v>63</v>
      </c>
      <c r="B64" s="240" t="s">
        <v>6210</v>
      </c>
      <c r="C64" s="47" t="s">
        <v>25</v>
      </c>
      <c r="D64" s="47" t="s">
        <v>17</v>
      </c>
      <c r="E64" s="47"/>
      <c r="F64" s="47" t="s">
        <v>2052</v>
      </c>
      <c r="G64" s="47" t="s">
        <v>6180</v>
      </c>
      <c r="H64" s="238">
        <v>1500000</v>
      </c>
      <c r="I64" s="47" t="s">
        <v>20</v>
      </c>
      <c r="J64" s="47" t="s">
        <v>2120</v>
      </c>
      <c r="K64" s="235">
        <v>45323</v>
      </c>
      <c r="L64" s="236" t="s">
        <v>20</v>
      </c>
      <c r="M64" s="47" t="s">
        <v>6109</v>
      </c>
    </row>
    <row r="65" spans="1:13" ht="15.75">
      <c r="A65" s="47">
        <v>64</v>
      </c>
      <c r="B65" s="240" t="s">
        <v>3198</v>
      </c>
      <c r="C65" s="47" t="s">
        <v>34</v>
      </c>
      <c r="D65" s="47" t="s">
        <v>17</v>
      </c>
      <c r="E65" s="47">
        <v>100</v>
      </c>
      <c r="F65" s="47" t="s">
        <v>756</v>
      </c>
      <c r="G65" s="47" t="s">
        <v>6127</v>
      </c>
      <c r="H65" s="238">
        <v>2500</v>
      </c>
      <c r="I65" s="47" t="s">
        <v>20</v>
      </c>
      <c r="J65" s="47" t="s">
        <v>2120</v>
      </c>
      <c r="K65" s="235">
        <v>45323</v>
      </c>
      <c r="L65" s="236" t="s">
        <v>20</v>
      </c>
      <c r="M65" s="47" t="s">
        <v>6109</v>
      </c>
    </row>
    <row r="66" spans="1:13">
      <c r="A66" s="47">
        <v>65</v>
      </c>
      <c r="B66" s="233" t="s">
        <v>6211</v>
      </c>
      <c r="C66" s="47" t="s">
        <v>34</v>
      </c>
      <c r="D66" s="47" t="s">
        <v>17</v>
      </c>
      <c r="E66" s="47">
        <v>5000</v>
      </c>
      <c r="F66" s="47" t="s">
        <v>756</v>
      </c>
      <c r="G66" s="47" t="s">
        <v>6212</v>
      </c>
      <c r="H66" s="238">
        <v>3000</v>
      </c>
      <c r="I66" s="47" t="s">
        <v>20</v>
      </c>
      <c r="J66" s="47" t="s">
        <v>2120</v>
      </c>
      <c r="K66" s="235">
        <v>45323</v>
      </c>
      <c r="L66" s="236" t="s">
        <v>20</v>
      </c>
      <c r="M66" s="47" t="s">
        <v>6109</v>
      </c>
    </row>
    <row r="67" spans="1:13">
      <c r="A67" s="47">
        <v>66</v>
      </c>
      <c r="B67" s="233" t="s">
        <v>6213</v>
      </c>
      <c r="C67" s="47" t="s">
        <v>34</v>
      </c>
      <c r="D67" s="47" t="s">
        <v>17</v>
      </c>
      <c r="E67" s="47">
        <v>5000</v>
      </c>
      <c r="F67" s="47" t="s">
        <v>756</v>
      </c>
      <c r="G67" s="47" t="s">
        <v>6214</v>
      </c>
      <c r="H67" s="238">
        <v>3000</v>
      </c>
      <c r="I67" s="47" t="s">
        <v>20</v>
      </c>
      <c r="J67" s="47" t="s">
        <v>2120</v>
      </c>
      <c r="K67" s="235">
        <v>45323</v>
      </c>
      <c r="L67" s="236" t="s">
        <v>20</v>
      </c>
      <c r="M67" s="47" t="s">
        <v>6109</v>
      </c>
    </row>
    <row r="68" spans="1:13">
      <c r="A68" s="47">
        <v>67</v>
      </c>
      <c r="B68" s="233" t="s">
        <v>6215</v>
      </c>
      <c r="C68" s="47" t="s">
        <v>34</v>
      </c>
      <c r="D68" s="47" t="s">
        <v>17</v>
      </c>
      <c r="E68" s="47">
        <v>10000</v>
      </c>
      <c r="F68" s="47" t="s">
        <v>756</v>
      </c>
      <c r="G68" s="47" t="s">
        <v>6216</v>
      </c>
      <c r="H68" s="238">
        <v>5000</v>
      </c>
      <c r="I68" s="47" t="s">
        <v>20</v>
      </c>
      <c r="J68" s="47" t="s">
        <v>2120</v>
      </c>
      <c r="K68" s="235">
        <v>45323</v>
      </c>
      <c r="L68" s="236" t="s">
        <v>20</v>
      </c>
      <c r="M68" s="47" t="s">
        <v>6109</v>
      </c>
    </row>
    <row r="69" spans="1:13">
      <c r="A69" s="47">
        <v>68</v>
      </c>
      <c r="B69" s="233" t="s">
        <v>6217</v>
      </c>
      <c r="C69" s="47" t="s">
        <v>34</v>
      </c>
      <c r="D69" s="47" t="s">
        <v>17</v>
      </c>
      <c r="E69" s="47">
        <v>10000</v>
      </c>
      <c r="F69" s="47" t="s">
        <v>756</v>
      </c>
      <c r="G69" s="47" t="s">
        <v>6174</v>
      </c>
      <c r="H69" s="238">
        <v>50000</v>
      </c>
      <c r="I69" s="47" t="s">
        <v>20</v>
      </c>
      <c r="J69" s="47" t="s">
        <v>2120</v>
      </c>
      <c r="K69" s="235">
        <v>45323</v>
      </c>
      <c r="L69" s="236" t="s">
        <v>20</v>
      </c>
      <c r="M69" s="47" t="s">
        <v>6109</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Planilhas</vt:lpstr>
      </vt:variant>
      <vt:variant>
        <vt:i4>24</vt:i4>
      </vt:variant>
      <vt:variant>
        <vt:lpstr>Intervalos Nomeados</vt:lpstr>
      </vt:variant>
      <vt:variant>
        <vt:i4>1</vt:i4>
      </vt:variant>
    </vt:vector>
  </HeadingPairs>
  <TitlesOfParts>
    <vt:vector size="25" baseType="lpstr">
      <vt:lpstr>ADM</vt:lpstr>
      <vt:lpstr>AGRICULTURA</vt:lpstr>
      <vt:lpstr>Comunicação</vt:lpstr>
      <vt:lpstr>CULTURA</vt:lpstr>
      <vt:lpstr>DESENV. ECON.</vt:lpstr>
      <vt:lpstr>DIREITOS PCD</vt:lpstr>
      <vt:lpstr>EDUCAÇÃO</vt:lpstr>
      <vt:lpstr>ESPORTE</vt:lpstr>
      <vt:lpstr>FINANÇAS</vt:lpstr>
      <vt:lpstr>Fundo Social</vt:lpstr>
      <vt:lpstr>Gabinete</vt:lpstr>
      <vt:lpstr>GOVERNANÇA DIGITAL</vt:lpstr>
      <vt:lpstr>Governo</vt:lpstr>
      <vt:lpstr>Juridico</vt:lpstr>
      <vt:lpstr>Juventude</vt:lpstr>
      <vt:lpstr>Meio Ambiente</vt:lpstr>
      <vt:lpstr>OBRAS</vt:lpstr>
      <vt:lpstr>MULHER</vt:lpstr>
      <vt:lpstr>SADS</vt:lpstr>
      <vt:lpstr>SAUDE</vt:lpstr>
      <vt:lpstr>SEGURANÇA</vt:lpstr>
      <vt:lpstr>SERVIÇOS MUNICIPAIS</vt:lpstr>
      <vt:lpstr>TRANSITO</vt:lpstr>
      <vt:lpstr>Turismo</vt:lpstr>
      <vt:lpstr>ADM!Titulos_de_impressao</vt:lpstr>
    </vt:vector>
  </TitlesOfParts>
  <Company>Servtech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Meio Ambiente</dc:creator>
  <cp:lastModifiedBy>Carlos Matheus de Paula Azevedo</cp:lastModifiedBy>
  <cp:lastPrinted>2023-07-26T16:33:30Z</cp:lastPrinted>
  <dcterms:created xsi:type="dcterms:W3CDTF">2023-07-17T13:13:35Z</dcterms:created>
  <dcterms:modified xsi:type="dcterms:W3CDTF">2024-01-12T15:42:28Z</dcterms:modified>
</cp:coreProperties>
</file>